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D:\CHINH\CONG VIEC\NAM 2025\BTGPMB\KHU SO 11, 12 NOXH\ĐỢT 2\"/>
    </mc:Choice>
  </mc:AlternateContent>
  <xr:revisionPtr revIDLastSave="0" documentId="13_ncr:1_{592002DD-3F67-4A2B-9A15-9FBC12C1D025}" xr6:coauthVersionLast="47" xr6:coauthVersionMax="47" xr10:uidLastSave="{00000000-0000-0000-0000-000000000000}"/>
  <bookViews>
    <workbookView xWindow="-120" yWindow="-120" windowWidth="29040" windowHeight="15720" tabRatio="632" firstSheet="1" activeTab="3" xr2:uid="{00000000-000D-0000-FFFF-FFFF00000000}"/>
  </bookViews>
  <sheets>
    <sheet name="SGV" sheetId="34" state="veryHidden" r:id="rId1"/>
    <sheet name="Phương án đợt 2 trình chuẩn" sheetId="36" r:id="rId2"/>
    <sheet name="BTHTS" sheetId="30" r:id="rId3"/>
    <sheet name="2%" sheetId="32" r:id="rId4"/>
    <sheet name="BTH" sheetId="33" r:id="rId5"/>
    <sheet name="DS thu hồi đợt 2 (trình)" sheetId="29" r:id="rId6"/>
    <sheet name="PA trình đợt 2(cũ)" sheetId="31" r:id="rId7"/>
    <sheet name="Dự thảo PA đợt 2 (NY)" sheetId="28" r:id="rId8"/>
  </sheets>
  <definedNames>
    <definedName name="_xlnm._FilterDatabase" localSheetId="2" hidden="1">BTHTS!$A$3:$H$24</definedName>
    <definedName name="_xlnm._FilterDatabase" localSheetId="5" hidden="1">'DS thu hồi đợt 2 (trình)'!$A$8:$Y$99</definedName>
    <definedName name="_xlnm._FilterDatabase" localSheetId="7" hidden="1">'Dự thảo PA đợt 2 (NY)'!$A$7:$AH$114</definedName>
    <definedName name="_xlnm._FilterDatabase" localSheetId="6" hidden="1">'PA trình đợt 2(cũ)'!$A$7:$AH$114</definedName>
    <definedName name="_xlnm._FilterDatabase" localSheetId="1" hidden="1">'Phương án đợt 2 trình chuẩn'!$A$8:$AH$115</definedName>
    <definedName name="_xlnm.Print_Titles" localSheetId="3">'2%'!$4:$5</definedName>
    <definedName name="_xlnm.Print_Titles" localSheetId="2">BTHTS!$3:$3</definedName>
    <definedName name="_xlnm.Print_Titles" localSheetId="7">'Dự thảo PA đợt 2 (NY)'!$4:$7</definedName>
    <definedName name="_xlnm.Print_Titles" localSheetId="6">'PA trình đợt 2(cũ)'!$4:$7</definedName>
    <definedName name="_xlnm.Print_Titles" localSheetId="1">'Phương án đợt 2 trình chuẩn'!$5:$8</definedName>
  </definedNames>
  <calcPr calcId="191029"/>
</workbook>
</file>

<file path=xl/calcChain.xml><?xml version="1.0" encoding="utf-8"?>
<calcChain xmlns="http://schemas.openxmlformats.org/spreadsheetml/2006/main">
  <c r="D14" i="32" l="1"/>
  <c r="F13" i="32"/>
  <c r="AB15" i="36" l="1"/>
  <c r="AB16" i="36"/>
  <c r="AB17" i="36"/>
  <c r="AB18" i="36"/>
  <c r="AB34" i="36"/>
  <c r="AB37" i="36"/>
  <c r="AB38" i="36"/>
  <c r="AB39" i="36"/>
  <c r="AB47" i="36"/>
  <c r="AB49" i="36"/>
  <c r="AB57" i="36"/>
  <c r="AB58" i="36"/>
  <c r="AB63" i="36"/>
  <c r="AB68" i="36"/>
  <c r="AB71" i="36"/>
  <c r="AB81" i="36"/>
  <c r="AB82" i="36"/>
  <c r="AB86" i="36"/>
  <c r="AB87" i="36"/>
  <c r="AB88" i="36"/>
  <c r="AB92" i="36"/>
  <c r="AB100" i="36"/>
  <c r="AB101" i="36"/>
  <c r="AB102" i="36"/>
  <c r="AB103" i="36"/>
  <c r="AB107" i="36"/>
  <c r="AB108" i="36"/>
  <c r="AB109" i="36"/>
  <c r="AB110" i="36"/>
  <c r="AB115" i="36"/>
  <c r="AE10" i="36"/>
  <c r="AE11" i="36"/>
  <c r="AE12" i="36"/>
  <c r="AE13" i="36"/>
  <c r="AE14" i="36"/>
  <c r="AE15" i="36"/>
  <c r="AE16" i="36"/>
  <c r="AE17" i="36"/>
  <c r="AE18" i="36"/>
  <c r="AE19" i="36"/>
  <c r="AE20" i="36"/>
  <c r="AE21" i="36"/>
  <c r="AE22" i="36"/>
  <c r="AE23" i="36"/>
  <c r="AE24" i="36"/>
  <c r="AE25" i="36"/>
  <c r="AE26" i="36"/>
  <c r="AE27" i="36"/>
  <c r="AE28" i="36"/>
  <c r="AE29" i="36"/>
  <c r="AE30" i="36"/>
  <c r="AE31" i="36"/>
  <c r="AE32" i="36"/>
  <c r="AE33" i="36"/>
  <c r="AE34" i="36"/>
  <c r="AE35" i="36"/>
  <c r="AE36" i="36"/>
  <c r="AE37" i="36"/>
  <c r="AE38" i="36"/>
  <c r="AE39" i="36"/>
  <c r="AE40" i="36"/>
  <c r="AE41" i="36"/>
  <c r="AE42" i="36"/>
  <c r="AE43" i="36"/>
  <c r="AE44" i="36"/>
  <c r="AE45" i="36"/>
  <c r="AE46" i="36"/>
  <c r="AE47" i="36"/>
  <c r="AE48" i="36"/>
  <c r="AE49" i="36"/>
  <c r="AE50" i="36"/>
  <c r="AE51" i="36"/>
  <c r="AE52" i="36"/>
  <c r="AE53" i="36"/>
  <c r="AE54" i="36"/>
  <c r="AE55" i="36"/>
  <c r="AE56" i="36"/>
  <c r="AE57" i="36"/>
  <c r="AE58" i="36"/>
  <c r="AE59" i="36"/>
  <c r="AE60" i="36"/>
  <c r="AE61" i="36"/>
  <c r="AE62" i="36"/>
  <c r="AE63" i="36"/>
  <c r="AE64" i="36"/>
  <c r="AE65" i="36"/>
  <c r="AE66" i="36"/>
  <c r="AE67" i="36"/>
  <c r="AE68" i="36"/>
  <c r="AE69" i="36"/>
  <c r="AE70" i="36"/>
  <c r="AE71" i="36"/>
  <c r="AE72" i="36"/>
  <c r="AE73" i="36"/>
  <c r="AE74" i="36"/>
  <c r="AE75" i="36"/>
  <c r="AE76" i="36"/>
  <c r="AE77" i="36"/>
  <c r="AE78" i="36"/>
  <c r="AE79" i="36"/>
  <c r="AE80" i="36"/>
  <c r="AE81" i="36"/>
  <c r="AE82" i="36"/>
  <c r="AE83" i="36"/>
  <c r="AE84" i="36"/>
  <c r="AE85" i="36"/>
  <c r="AE86" i="36"/>
  <c r="AE87" i="36"/>
  <c r="AE88" i="36"/>
  <c r="AE89" i="36"/>
  <c r="AE90" i="36"/>
  <c r="AE91" i="36"/>
  <c r="AE92" i="36"/>
  <c r="AE93" i="36"/>
  <c r="AE94" i="36"/>
  <c r="AE95" i="36"/>
  <c r="AE96" i="36"/>
  <c r="AE97" i="36"/>
  <c r="AE98" i="36"/>
  <c r="AE99" i="36"/>
  <c r="AE100" i="36"/>
  <c r="AE101" i="36"/>
  <c r="AE102" i="36"/>
  <c r="AE103" i="36"/>
  <c r="AE104" i="36"/>
  <c r="AE105" i="36"/>
  <c r="AE106" i="36"/>
  <c r="AE107" i="36"/>
  <c r="AE108" i="36"/>
  <c r="AE109" i="36"/>
  <c r="AE110" i="36"/>
  <c r="AE111" i="36"/>
  <c r="AE112" i="36"/>
  <c r="AE113" i="36"/>
  <c r="AE114" i="36"/>
  <c r="AE115" i="36"/>
  <c r="AE9" i="36"/>
  <c r="AD16" i="36"/>
  <c r="AD18" i="36"/>
  <c r="AD19" i="36"/>
  <c r="AD20" i="36"/>
  <c r="AD30" i="36"/>
  <c r="AD32" i="36"/>
  <c r="AD33" i="36"/>
  <c r="AD35" i="36"/>
  <c r="AD36" i="36"/>
  <c r="AD38" i="36"/>
  <c r="AD40" i="36"/>
  <c r="AD41" i="36"/>
  <c r="AD42" i="36"/>
  <c r="AD44" i="36"/>
  <c r="AD45" i="36"/>
  <c r="AD47" i="36"/>
  <c r="AD48" i="36"/>
  <c r="AD49" i="36"/>
  <c r="AD50" i="36"/>
  <c r="AD52" i="36"/>
  <c r="AD54" i="36"/>
  <c r="AD56" i="36"/>
  <c r="AD58" i="36"/>
  <c r="AD59" i="36"/>
  <c r="AD61" i="36"/>
  <c r="AD62" i="36"/>
  <c r="AD63" i="36"/>
  <c r="AD64" i="36"/>
  <c r="AD67" i="36"/>
  <c r="AD68" i="36"/>
  <c r="AD69" i="36"/>
  <c r="AD70" i="36"/>
  <c r="AD71" i="36"/>
  <c r="AD72" i="36"/>
  <c r="AD74" i="36"/>
  <c r="AD75" i="36"/>
  <c r="AD76" i="36"/>
  <c r="AD78" i="36"/>
  <c r="AD82" i="36"/>
  <c r="AD83" i="36"/>
  <c r="AD85" i="36"/>
  <c r="AD86" i="36"/>
  <c r="AD88" i="36"/>
  <c r="AD92" i="36"/>
  <c r="AD94" i="36"/>
  <c r="AD101" i="36"/>
  <c r="AD102" i="36"/>
  <c r="AD103" i="36"/>
  <c r="AD104" i="36"/>
  <c r="AD105" i="36"/>
  <c r="AD106" i="36"/>
  <c r="AD108" i="36"/>
  <c r="AD110" i="36"/>
  <c r="AD111" i="36"/>
  <c r="AD112" i="36"/>
  <c r="AD113" i="36"/>
  <c r="AC14" i="36"/>
  <c r="AC16" i="36"/>
  <c r="AC18" i="36"/>
  <c r="AC19" i="36"/>
  <c r="AC20" i="36"/>
  <c r="AC30" i="36"/>
  <c r="AC32" i="36"/>
  <c r="AC33" i="36"/>
  <c r="AC35" i="36"/>
  <c r="AC36" i="36"/>
  <c r="AC38" i="36"/>
  <c r="AC40" i="36"/>
  <c r="AC41" i="36"/>
  <c r="AC42" i="36"/>
  <c r="AC44" i="36"/>
  <c r="AC45" i="36"/>
  <c r="AC47" i="36"/>
  <c r="AC48" i="36"/>
  <c r="AC49" i="36"/>
  <c r="AC50" i="36"/>
  <c r="AC52" i="36"/>
  <c r="AC54" i="36"/>
  <c r="AC56" i="36"/>
  <c r="AC58" i="36"/>
  <c r="AC59" i="36"/>
  <c r="AC61" i="36"/>
  <c r="AC62" i="36"/>
  <c r="AC63" i="36"/>
  <c r="AC64" i="36"/>
  <c r="AC68" i="36"/>
  <c r="AC69" i="36"/>
  <c r="AC70" i="36"/>
  <c r="AC71" i="36"/>
  <c r="AC72" i="36"/>
  <c r="AC74" i="36"/>
  <c r="AC75" i="36"/>
  <c r="AC76" i="36"/>
  <c r="AC78" i="36"/>
  <c r="AC82" i="36"/>
  <c r="AC83" i="36"/>
  <c r="AC85" i="36"/>
  <c r="AC86" i="36"/>
  <c r="AC88" i="36"/>
  <c r="AC92" i="36"/>
  <c r="AC94" i="36"/>
  <c r="AC101" i="36"/>
  <c r="AC102" i="36"/>
  <c r="AC103" i="36"/>
  <c r="AC104" i="36"/>
  <c r="AC105" i="36"/>
  <c r="AC106" i="36"/>
  <c r="AC108" i="36"/>
  <c r="AC110" i="36"/>
  <c r="AC111" i="36"/>
  <c r="AC112" i="36"/>
  <c r="AC113" i="36"/>
  <c r="U92" i="36"/>
  <c r="U94" i="36"/>
  <c r="U95" i="36"/>
  <c r="U101" i="36"/>
  <c r="AF101" i="36" s="1"/>
  <c r="U102" i="36"/>
  <c r="U103" i="36"/>
  <c r="U104" i="36"/>
  <c r="U105" i="36"/>
  <c r="U106" i="36"/>
  <c r="U108" i="36"/>
  <c r="U110" i="36"/>
  <c r="U111" i="36"/>
  <c r="U112" i="36"/>
  <c r="U113" i="36"/>
  <c r="U16" i="36"/>
  <c r="U18" i="36"/>
  <c r="U19" i="36"/>
  <c r="U20" i="36"/>
  <c r="U30" i="36"/>
  <c r="U32" i="36"/>
  <c r="U33" i="36"/>
  <c r="U35" i="36"/>
  <c r="U36" i="36"/>
  <c r="U38" i="36"/>
  <c r="U40" i="36"/>
  <c r="U41" i="36"/>
  <c r="U42" i="36"/>
  <c r="U44" i="36"/>
  <c r="U45" i="36"/>
  <c r="U47" i="36"/>
  <c r="U48" i="36"/>
  <c r="U49" i="36"/>
  <c r="U50" i="36"/>
  <c r="U52" i="36"/>
  <c r="U54" i="36"/>
  <c r="U56" i="36"/>
  <c r="U58" i="36"/>
  <c r="U59" i="36"/>
  <c r="U61" i="36"/>
  <c r="U62" i="36"/>
  <c r="U63" i="36"/>
  <c r="U64" i="36"/>
  <c r="U68" i="36"/>
  <c r="U69" i="36"/>
  <c r="U70" i="36"/>
  <c r="U71" i="36"/>
  <c r="U72" i="36"/>
  <c r="U74" i="36"/>
  <c r="U75" i="36"/>
  <c r="U76" i="36"/>
  <c r="U78" i="36"/>
  <c r="U82" i="36"/>
  <c r="U83" i="36"/>
  <c r="U85" i="36"/>
  <c r="U86" i="36"/>
  <c r="U88" i="36"/>
  <c r="AH116" i="36"/>
  <c r="W116" i="36"/>
  <c r="V116" i="36"/>
  <c r="S116" i="36"/>
  <c r="P116" i="36"/>
  <c r="M116" i="36"/>
  <c r="J116" i="36"/>
  <c r="I116" i="36"/>
  <c r="F116" i="36"/>
  <c r="R115" i="36"/>
  <c r="L115" i="36"/>
  <c r="Q115" i="36" s="1"/>
  <c r="X115" i="36" s="1"/>
  <c r="R114" i="36"/>
  <c r="K114" i="36"/>
  <c r="R113" i="36"/>
  <c r="Q113" i="36"/>
  <c r="X113" i="36" s="1"/>
  <c r="AB113" i="36" s="1"/>
  <c r="R112" i="36"/>
  <c r="Q112" i="36"/>
  <c r="X112" i="36" s="1"/>
  <c r="AB112" i="36" s="1"/>
  <c r="R111" i="36"/>
  <c r="Q111" i="36"/>
  <c r="X111" i="36" s="1"/>
  <c r="AB111" i="36" s="1"/>
  <c r="R109" i="36"/>
  <c r="L109" i="36"/>
  <c r="AD109" i="36" s="1"/>
  <c r="E109" i="36"/>
  <c r="E116" i="36" s="1"/>
  <c r="R108" i="36"/>
  <c r="Q108" i="36"/>
  <c r="R107" i="36"/>
  <c r="L107" i="36"/>
  <c r="AD107" i="36" s="1"/>
  <c r="R106" i="36"/>
  <c r="Q106" i="36"/>
  <c r="X106" i="36" s="1"/>
  <c r="AB106" i="36" s="1"/>
  <c r="R105" i="36"/>
  <c r="Q105" i="36"/>
  <c r="X105" i="36" s="1"/>
  <c r="AB105" i="36" s="1"/>
  <c r="R104" i="36"/>
  <c r="Q104" i="36"/>
  <c r="X104" i="36" s="1"/>
  <c r="AB104" i="36" s="1"/>
  <c r="R103" i="36"/>
  <c r="Q103" i="36"/>
  <c r="R102" i="36"/>
  <c r="Q102" i="36"/>
  <c r="R101" i="36"/>
  <c r="Q101" i="36"/>
  <c r="R100" i="36"/>
  <c r="L100" i="36"/>
  <c r="AD100" i="36" s="1"/>
  <c r="R99" i="36"/>
  <c r="L99" i="36"/>
  <c r="AC99" i="36" s="1"/>
  <c r="R98" i="36"/>
  <c r="L98" i="36"/>
  <c r="Q98" i="36" s="1"/>
  <c r="X98" i="36" s="1"/>
  <c r="AB98" i="36" s="1"/>
  <c r="R97" i="36"/>
  <c r="L97" i="36"/>
  <c r="R96" i="36"/>
  <c r="L96" i="36"/>
  <c r="AD96" i="36" s="1"/>
  <c r="R95" i="36"/>
  <c r="L95" i="36"/>
  <c r="Q95" i="36" s="1"/>
  <c r="X95" i="36" s="1"/>
  <c r="AB95" i="36" s="1"/>
  <c r="R94" i="36"/>
  <c r="Q94" i="36"/>
  <c r="X94" i="36" s="1"/>
  <c r="AB94" i="36" s="1"/>
  <c r="R93" i="36"/>
  <c r="L93" i="36"/>
  <c r="AD93" i="36" s="1"/>
  <c r="R92" i="36"/>
  <c r="Q92" i="36"/>
  <c r="R91" i="36"/>
  <c r="L91" i="36"/>
  <c r="AC91" i="36" s="1"/>
  <c r="R90" i="36"/>
  <c r="L90" i="36"/>
  <c r="AD90" i="36" s="1"/>
  <c r="L89" i="36"/>
  <c r="AD89" i="36" s="1"/>
  <c r="R87" i="36"/>
  <c r="L87" i="36"/>
  <c r="U87" i="36" s="1"/>
  <c r="R86" i="36"/>
  <c r="Q86" i="36"/>
  <c r="R85" i="36"/>
  <c r="Q85" i="36"/>
  <c r="X85" i="36" s="1"/>
  <c r="AB85" i="36" s="1"/>
  <c r="R84" i="36"/>
  <c r="Q84" i="36"/>
  <c r="X84" i="36" s="1"/>
  <c r="AB84" i="36" s="1"/>
  <c r="L84" i="36"/>
  <c r="AD84" i="36" s="1"/>
  <c r="R83" i="36"/>
  <c r="Q83" i="36"/>
  <c r="X83" i="36" s="1"/>
  <c r="AB83" i="36" s="1"/>
  <c r="R82" i="36"/>
  <c r="Q82" i="36"/>
  <c r="R81" i="36"/>
  <c r="K81" i="36"/>
  <c r="L81" i="36" s="1"/>
  <c r="AD81" i="36" s="1"/>
  <c r="R80" i="36"/>
  <c r="N80" i="36"/>
  <c r="R79" i="36"/>
  <c r="O79" i="36"/>
  <c r="U79" i="36" s="1"/>
  <c r="R78" i="36"/>
  <c r="Q78" i="36"/>
  <c r="X78" i="36" s="1"/>
  <c r="AB78" i="36" s="1"/>
  <c r="R77" i="36"/>
  <c r="L77" i="36"/>
  <c r="AD77" i="36" s="1"/>
  <c r="R76" i="36"/>
  <c r="Q76" i="36"/>
  <c r="X76" i="36" s="1"/>
  <c r="AB76" i="36" s="1"/>
  <c r="R75" i="36"/>
  <c r="Q75" i="36"/>
  <c r="X75" i="36" s="1"/>
  <c r="AB75" i="36" s="1"/>
  <c r="R74" i="36"/>
  <c r="Q74" i="36"/>
  <c r="X74" i="36" s="1"/>
  <c r="AB74" i="36" s="1"/>
  <c r="R73" i="36"/>
  <c r="K73" i="36"/>
  <c r="L73" i="36" s="1"/>
  <c r="Q73" i="36" s="1"/>
  <c r="X73" i="36" s="1"/>
  <c r="AB73" i="36" s="1"/>
  <c r="R72" i="36"/>
  <c r="Q72" i="36"/>
  <c r="X72" i="36" s="1"/>
  <c r="AB72" i="36" s="1"/>
  <c r="Q71" i="36"/>
  <c r="Q70" i="36"/>
  <c r="X70" i="36" s="1"/>
  <c r="AB70" i="36" s="1"/>
  <c r="X69" i="36"/>
  <c r="AB69" i="36" s="1"/>
  <c r="R68" i="36"/>
  <c r="Q68" i="36"/>
  <c r="R67" i="36"/>
  <c r="L67" i="36"/>
  <c r="U67" i="36" s="1"/>
  <c r="R66" i="36"/>
  <c r="L66" i="36"/>
  <c r="Q66" i="36" s="1"/>
  <c r="X66" i="36" s="1"/>
  <c r="AB66" i="36" s="1"/>
  <c r="R65" i="36"/>
  <c r="L65" i="36"/>
  <c r="AD65" i="36" s="1"/>
  <c r="X64" i="36"/>
  <c r="AB64" i="36" s="1"/>
  <c r="R63" i="36"/>
  <c r="Q63" i="36"/>
  <c r="R62" i="36"/>
  <c r="Q62" i="36"/>
  <c r="X62" i="36" s="1"/>
  <c r="AB62" i="36" s="1"/>
  <c r="R61" i="36"/>
  <c r="Q61" i="36"/>
  <c r="X61" i="36" s="1"/>
  <c r="AB61" i="36" s="1"/>
  <c r="R60" i="36"/>
  <c r="L60" i="36"/>
  <c r="Q60" i="36" s="1"/>
  <c r="X60" i="36" s="1"/>
  <c r="AB60" i="36" s="1"/>
  <c r="R59" i="36"/>
  <c r="Q59" i="36"/>
  <c r="X59" i="36" s="1"/>
  <c r="AB59" i="36" s="1"/>
  <c r="L57" i="36"/>
  <c r="Q57" i="36" s="1"/>
  <c r="R56" i="36"/>
  <c r="Q56" i="36"/>
  <c r="X56" i="36" s="1"/>
  <c r="AB56" i="36" s="1"/>
  <c r="R55" i="36"/>
  <c r="K55" i="36"/>
  <c r="L55" i="36" s="1"/>
  <c r="R54" i="36"/>
  <c r="Q54" i="36"/>
  <c r="X54" i="36" s="1"/>
  <c r="AB54" i="36" s="1"/>
  <c r="R53" i="36"/>
  <c r="L53" i="36"/>
  <c r="Q53" i="36" s="1"/>
  <c r="X53" i="36" s="1"/>
  <c r="AB53" i="36" s="1"/>
  <c r="R52" i="36"/>
  <c r="Q52" i="36"/>
  <c r="X52" i="36" s="1"/>
  <c r="AB52" i="36" s="1"/>
  <c r="R51" i="36"/>
  <c r="K51" i="36"/>
  <c r="R50" i="36"/>
  <c r="Q50" i="36"/>
  <c r="X50" i="36" s="1"/>
  <c r="AB50" i="36" s="1"/>
  <c r="X48" i="36"/>
  <c r="AB48" i="36" s="1"/>
  <c r="R48" i="36"/>
  <c r="Q48" i="36"/>
  <c r="R47" i="36"/>
  <c r="Q47" i="36"/>
  <c r="R46" i="36"/>
  <c r="Q46" i="36"/>
  <c r="X46" i="36" s="1"/>
  <c r="AB46" i="36" s="1"/>
  <c r="L46" i="36"/>
  <c r="U46" i="36" s="1"/>
  <c r="Q45" i="36"/>
  <c r="X45" i="36" s="1"/>
  <c r="AB45" i="36" s="1"/>
  <c r="R44" i="36"/>
  <c r="Q44" i="36"/>
  <c r="X44" i="36" s="1"/>
  <c r="AB44" i="36" s="1"/>
  <c r="R43" i="36"/>
  <c r="K43" i="36"/>
  <c r="Q42" i="36"/>
  <c r="X42" i="36" s="1"/>
  <c r="AB42" i="36" s="1"/>
  <c r="R41" i="36"/>
  <c r="Q41" i="36"/>
  <c r="X41" i="36" s="1"/>
  <c r="AB41" i="36" s="1"/>
  <c r="X40" i="36"/>
  <c r="AB40" i="36" s="1"/>
  <c r="R40" i="36"/>
  <c r="Q40" i="36"/>
  <c r="R39" i="36"/>
  <c r="Q39" i="36"/>
  <c r="L39" i="36"/>
  <c r="U39" i="36" s="1"/>
  <c r="R38" i="36"/>
  <c r="R37" i="36"/>
  <c r="L37" i="36"/>
  <c r="AC37" i="36" s="1"/>
  <c r="X36" i="36"/>
  <c r="AB36" i="36" s="1"/>
  <c r="X35" i="36"/>
  <c r="AB35" i="36" s="1"/>
  <c r="R34" i="36"/>
  <c r="L34" i="36"/>
  <c r="R33" i="36"/>
  <c r="Q33" i="36"/>
  <c r="X33" i="36" s="1"/>
  <c r="AB33" i="36" s="1"/>
  <c r="R32" i="36"/>
  <c r="Q32" i="36"/>
  <c r="X32" i="36" s="1"/>
  <c r="AB32" i="36" s="1"/>
  <c r="R31" i="36"/>
  <c r="O31" i="36"/>
  <c r="O116" i="36" s="1"/>
  <c r="R30" i="36"/>
  <c r="Q30" i="36"/>
  <c r="X30" i="36" s="1"/>
  <c r="AB30" i="36" s="1"/>
  <c r="R29" i="36"/>
  <c r="L29" i="36"/>
  <c r="R28" i="36"/>
  <c r="L28" i="36"/>
  <c r="Q28" i="36" s="1"/>
  <c r="X28" i="36" s="1"/>
  <c r="AB28" i="36" s="1"/>
  <c r="R27" i="36"/>
  <c r="L27" i="36"/>
  <c r="R26" i="36"/>
  <c r="L26" i="36"/>
  <c r="U26" i="36" s="1"/>
  <c r="R25" i="36"/>
  <c r="L25" i="36"/>
  <c r="Q25" i="36" s="1"/>
  <c r="X25" i="36" s="1"/>
  <c r="AB25" i="36" s="1"/>
  <c r="R24" i="36"/>
  <c r="L24" i="36"/>
  <c r="Q24" i="36" s="1"/>
  <c r="X24" i="36" s="1"/>
  <c r="AB24" i="36" s="1"/>
  <c r="L23" i="36"/>
  <c r="Q23" i="36" s="1"/>
  <c r="X23" i="36" s="1"/>
  <c r="AB23" i="36" s="1"/>
  <c r="R22" i="36"/>
  <c r="L22" i="36"/>
  <c r="U22" i="36" s="1"/>
  <c r="R21" i="36"/>
  <c r="L21" i="36"/>
  <c r="Q21" i="36" s="1"/>
  <c r="X21" i="36" s="1"/>
  <c r="AB21" i="36" s="1"/>
  <c r="R20" i="36"/>
  <c r="Q20" i="36"/>
  <c r="X20" i="36" s="1"/>
  <c r="AB20" i="36" s="1"/>
  <c r="Q19" i="36"/>
  <c r="X19" i="36" s="1"/>
  <c r="AB19" i="36" s="1"/>
  <c r="L17" i="36"/>
  <c r="L15" i="36"/>
  <c r="U15" i="36" s="1"/>
  <c r="R14" i="36"/>
  <c r="L14" i="36"/>
  <c r="Q14" i="36" s="1"/>
  <c r="X14" i="36" s="1"/>
  <c r="AB14" i="36" s="1"/>
  <c r="R13" i="36"/>
  <c r="L13" i="36"/>
  <c r="AD13" i="36" s="1"/>
  <c r="R12" i="36"/>
  <c r="L12" i="36"/>
  <c r="AD12" i="36" s="1"/>
  <c r="R11" i="36"/>
  <c r="L11" i="36"/>
  <c r="U11" i="36" s="1"/>
  <c r="R10" i="36"/>
  <c r="K10" i="36"/>
  <c r="Q10" i="36" s="1"/>
  <c r="X10" i="36" s="1"/>
  <c r="AB10" i="36" s="1"/>
  <c r="R9" i="36"/>
  <c r="L9" i="36"/>
  <c r="K9" i="36"/>
  <c r="U37" i="36" l="1"/>
  <c r="AD10" i="36"/>
  <c r="U107" i="36"/>
  <c r="AC10" i="36"/>
  <c r="Q37" i="36"/>
  <c r="AF35" i="36"/>
  <c r="Q26" i="36"/>
  <c r="X26" i="36" s="1"/>
  <c r="AB26" i="36" s="1"/>
  <c r="U14" i="36"/>
  <c r="AD115" i="36"/>
  <c r="AD39" i="36"/>
  <c r="AD24" i="36"/>
  <c r="U10" i="36"/>
  <c r="AC115" i="36"/>
  <c r="AC39" i="36"/>
  <c r="AF39" i="36" s="1"/>
  <c r="AG39" i="36" s="1"/>
  <c r="AC24" i="36"/>
  <c r="L43" i="36"/>
  <c r="Q96" i="36"/>
  <c r="X96" i="36" s="1"/>
  <c r="AB96" i="36" s="1"/>
  <c r="U25" i="36"/>
  <c r="AD37" i="36"/>
  <c r="K116" i="36"/>
  <c r="Q12" i="36"/>
  <c r="X12" i="36" s="1"/>
  <c r="AB12" i="36" s="1"/>
  <c r="Q43" i="36"/>
  <c r="X43" i="36" s="1"/>
  <c r="AB43" i="36" s="1"/>
  <c r="Q67" i="36"/>
  <c r="X67" i="36" s="1"/>
  <c r="AB67" i="36" s="1"/>
  <c r="U24" i="36"/>
  <c r="AF112" i="36"/>
  <c r="AF103" i="36"/>
  <c r="AF70" i="36"/>
  <c r="AF19" i="36"/>
  <c r="AC67" i="36"/>
  <c r="AF67" i="36" s="1"/>
  <c r="AD14" i="36"/>
  <c r="AF14" i="36" s="1"/>
  <c r="AF105" i="36"/>
  <c r="AF74" i="36"/>
  <c r="AF113" i="36"/>
  <c r="AF78" i="36"/>
  <c r="AF54" i="36"/>
  <c r="Q15" i="36"/>
  <c r="Q81" i="36"/>
  <c r="Q93" i="36"/>
  <c r="X93" i="36" s="1"/>
  <c r="AB93" i="36" s="1"/>
  <c r="Q100" i="36"/>
  <c r="U9" i="36"/>
  <c r="AF83" i="36"/>
  <c r="U77" i="36"/>
  <c r="U73" i="36"/>
  <c r="AF63" i="36"/>
  <c r="AF58" i="36"/>
  <c r="U53" i="36"/>
  <c r="AF48" i="36"/>
  <c r="AF42" i="36"/>
  <c r="AF38" i="36"/>
  <c r="AF24" i="36"/>
  <c r="AF18" i="36"/>
  <c r="AF10" i="36"/>
  <c r="AC95" i="36"/>
  <c r="AF95" i="36" s="1"/>
  <c r="AC87" i="36"/>
  <c r="AF87" i="36" s="1"/>
  <c r="AC11" i="36"/>
  <c r="AD95" i="36"/>
  <c r="AD87" i="36"/>
  <c r="AD11" i="36"/>
  <c r="AF44" i="36"/>
  <c r="AG44" i="36" s="1"/>
  <c r="AF88" i="36"/>
  <c r="AF76" i="36"/>
  <c r="AG76" i="36" s="1"/>
  <c r="AF72" i="36"/>
  <c r="AF68" i="36"/>
  <c r="AF62" i="36"/>
  <c r="U57" i="36"/>
  <c r="AF52" i="36"/>
  <c r="AF47" i="36"/>
  <c r="AF32" i="36"/>
  <c r="U21" i="36"/>
  <c r="U115" i="36"/>
  <c r="AF115" i="36" s="1"/>
  <c r="AF92" i="36"/>
  <c r="AC107" i="36"/>
  <c r="AF107" i="36" s="1"/>
  <c r="AC79" i="36"/>
  <c r="AC23" i="36"/>
  <c r="AD79" i="36"/>
  <c r="AD23" i="36"/>
  <c r="U13" i="36"/>
  <c r="R116" i="36"/>
  <c r="Q11" i="36"/>
  <c r="X11" i="36" s="1"/>
  <c r="AB11" i="36" s="1"/>
  <c r="Q31" i="36"/>
  <c r="X31" i="36" s="1"/>
  <c r="AB31" i="36" s="1"/>
  <c r="Q77" i="36"/>
  <c r="X77" i="36" s="1"/>
  <c r="AB77" i="36" s="1"/>
  <c r="Q87" i="36"/>
  <c r="U81" i="36"/>
  <c r="AF71" i="36"/>
  <c r="U65" i="36"/>
  <c r="AF56" i="36"/>
  <c r="AF50" i="36"/>
  <c r="AF30" i="36"/>
  <c r="AF20" i="36"/>
  <c r="AF108" i="36"/>
  <c r="AF104" i="36"/>
  <c r="AG104" i="36" s="1"/>
  <c r="U99" i="36"/>
  <c r="U91" i="36"/>
  <c r="AC31" i="36"/>
  <c r="AC15" i="36"/>
  <c r="AD31" i="36"/>
  <c r="AD15" i="36"/>
  <c r="AF82" i="36"/>
  <c r="AF64" i="36"/>
  <c r="AF40" i="36"/>
  <c r="AF36" i="36"/>
  <c r="AF16" i="36"/>
  <c r="U55" i="36"/>
  <c r="AD55" i="36"/>
  <c r="AC55" i="36"/>
  <c r="AD97" i="36"/>
  <c r="AC97" i="36"/>
  <c r="U97" i="36"/>
  <c r="AF37" i="36"/>
  <c r="AD17" i="36"/>
  <c r="AC17" i="36"/>
  <c r="Q17" i="36"/>
  <c r="U34" i="36"/>
  <c r="AD34" i="36"/>
  <c r="AC34" i="36"/>
  <c r="AF75" i="36"/>
  <c r="AF61" i="36"/>
  <c r="AF45" i="36"/>
  <c r="U17" i="36"/>
  <c r="AF111" i="36"/>
  <c r="AF106" i="36"/>
  <c r="AG106" i="36" s="1"/>
  <c r="AF102" i="36"/>
  <c r="AF94" i="36"/>
  <c r="AF69" i="36"/>
  <c r="AF33" i="36"/>
  <c r="Q99" i="36"/>
  <c r="X99" i="36" s="1"/>
  <c r="AB99" i="36" s="1"/>
  <c r="AD99" i="36"/>
  <c r="AF41" i="36"/>
  <c r="U27" i="36"/>
  <c r="AC27" i="36"/>
  <c r="AD27" i="36"/>
  <c r="AD29" i="36"/>
  <c r="AC29" i="36"/>
  <c r="Q29" i="36"/>
  <c r="X29" i="36" s="1"/>
  <c r="AB29" i="36" s="1"/>
  <c r="N116" i="36"/>
  <c r="AD80" i="36"/>
  <c r="AC80" i="36"/>
  <c r="U80" i="36"/>
  <c r="AF80" i="36" s="1"/>
  <c r="Q91" i="36"/>
  <c r="X91" i="36" s="1"/>
  <c r="AB91" i="36" s="1"/>
  <c r="AD91" i="36"/>
  <c r="AF85" i="36"/>
  <c r="AF59" i="36"/>
  <c r="AF49" i="36"/>
  <c r="U29" i="36"/>
  <c r="AF29" i="36" s="1"/>
  <c r="AF110" i="36"/>
  <c r="U84" i="36"/>
  <c r="U60" i="36"/>
  <c r="U28" i="36"/>
  <c r="U12" i="36"/>
  <c r="U98" i="36"/>
  <c r="U90" i="36"/>
  <c r="AC98" i="36"/>
  <c r="AC90" i="36"/>
  <c r="AC66" i="36"/>
  <c r="AC46" i="36"/>
  <c r="AC26" i="36"/>
  <c r="AC22" i="36"/>
  <c r="AD98" i="36"/>
  <c r="AD66" i="36"/>
  <c r="AD46" i="36"/>
  <c r="AD26" i="36"/>
  <c r="AD22" i="36"/>
  <c r="U31" i="36"/>
  <c r="U23" i="36"/>
  <c r="U109" i="36"/>
  <c r="U93" i="36"/>
  <c r="U89" i="36"/>
  <c r="AC109" i="36"/>
  <c r="AC93" i="36"/>
  <c r="AC89" i="36"/>
  <c r="AC81" i="36"/>
  <c r="AC77" i="36"/>
  <c r="AC73" i="36"/>
  <c r="AF73" i="36" s="1"/>
  <c r="AC65" i="36"/>
  <c r="AF65" i="36" s="1"/>
  <c r="AC57" i="36"/>
  <c r="AC53" i="36"/>
  <c r="AC25" i="36"/>
  <c r="AF25" i="36" s="1"/>
  <c r="AC21" i="36"/>
  <c r="AC13" i="36"/>
  <c r="AD73" i="36"/>
  <c r="AD57" i="36"/>
  <c r="AD53" i="36"/>
  <c r="AD25" i="36"/>
  <c r="AD21" i="36"/>
  <c r="U66" i="36"/>
  <c r="AF66" i="36" s="1"/>
  <c r="U100" i="36"/>
  <c r="U96" i="36"/>
  <c r="AC9" i="36"/>
  <c r="AC100" i="36"/>
  <c r="AC96" i="36"/>
  <c r="AC84" i="36"/>
  <c r="AC60" i="36"/>
  <c r="AC28" i="36"/>
  <c r="AC12" i="36"/>
  <c r="AD9" i="36"/>
  <c r="AD60" i="36"/>
  <c r="AD28" i="36"/>
  <c r="AF86" i="36"/>
  <c r="AE116" i="36"/>
  <c r="AG105" i="36"/>
  <c r="AG47" i="36"/>
  <c r="AG56" i="36"/>
  <c r="Q9" i="36"/>
  <c r="Q13" i="36"/>
  <c r="X13" i="36" s="1"/>
  <c r="AB13" i="36" s="1"/>
  <c r="Q22" i="36"/>
  <c r="X22" i="36" s="1"/>
  <c r="AB22" i="36" s="1"/>
  <c r="Q27" i="36"/>
  <c r="X27" i="36" s="1"/>
  <c r="AB27" i="36" s="1"/>
  <c r="Q34" i="36"/>
  <c r="L51" i="36"/>
  <c r="Q55" i="36"/>
  <c r="X55" i="36" s="1"/>
  <c r="AB55" i="36" s="1"/>
  <c r="Q65" i="36"/>
  <c r="X65" i="36" s="1"/>
  <c r="AB65" i="36" s="1"/>
  <c r="Q79" i="36"/>
  <c r="X79" i="36" s="1"/>
  <c r="AB79" i="36" s="1"/>
  <c r="Q89" i="36"/>
  <c r="X89" i="36" s="1"/>
  <c r="AB89" i="36" s="1"/>
  <c r="Q90" i="36"/>
  <c r="X90" i="36" s="1"/>
  <c r="AB90" i="36" s="1"/>
  <c r="Q97" i="36"/>
  <c r="X97" i="36" s="1"/>
  <c r="AB97" i="36" s="1"/>
  <c r="Q107" i="36"/>
  <c r="Q109" i="36"/>
  <c r="L114" i="36"/>
  <c r="Q80" i="36"/>
  <c r="X80" i="36" s="1"/>
  <c r="AB80" i="36" s="1"/>
  <c r="D4" i="30"/>
  <c r="O78" i="31"/>
  <c r="N79" i="31"/>
  <c r="R69" i="29"/>
  <c r="P68" i="29"/>
  <c r="O69" i="29"/>
  <c r="P69" i="29" s="1"/>
  <c r="AF99" i="36" l="1"/>
  <c r="AF109" i="36"/>
  <c r="AF12" i="36"/>
  <c r="AF15" i="36"/>
  <c r="AF79" i="36"/>
  <c r="S69" i="29"/>
  <c r="AF13" i="36"/>
  <c r="AF46" i="36"/>
  <c r="AF91" i="36"/>
  <c r="U43" i="36"/>
  <c r="AD43" i="36"/>
  <c r="AC43" i="36"/>
  <c r="AF21" i="36"/>
  <c r="AF11" i="36"/>
  <c r="AG45" i="36"/>
  <c r="AG86" i="36"/>
  <c r="AG61" i="36"/>
  <c r="AF57" i="36"/>
  <c r="AG70" i="36"/>
  <c r="AF22" i="36"/>
  <c r="AF53" i="36"/>
  <c r="AF77" i="36"/>
  <c r="AF23" i="36"/>
  <c r="AF26" i="36"/>
  <c r="AG24" i="36" s="1"/>
  <c r="AF17" i="36"/>
  <c r="AF100" i="36"/>
  <c r="AG99" i="36" s="1"/>
  <c r="AF81" i="36"/>
  <c r="AF89" i="36"/>
  <c r="AF31" i="36"/>
  <c r="AG29" i="36" s="1"/>
  <c r="AG65" i="36"/>
  <c r="AD114" i="36"/>
  <c r="AC114" i="36"/>
  <c r="U114" i="36"/>
  <c r="AF96" i="36"/>
  <c r="AF28" i="36"/>
  <c r="AF27" i="36"/>
  <c r="AF34" i="36"/>
  <c r="AG32" i="36" s="1"/>
  <c r="L116" i="36"/>
  <c r="AD51" i="36"/>
  <c r="AD116" i="36" s="1"/>
  <c r="U51" i="36"/>
  <c r="AC51" i="36"/>
  <c r="AC116" i="36" s="1"/>
  <c r="AF90" i="36"/>
  <c r="AF60" i="36"/>
  <c r="AF97" i="36"/>
  <c r="AF93" i="36"/>
  <c r="AG92" i="36" s="1"/>
  <c r="AF98" i="36"/>
  <c r="AF84" i="36"/>
  <c r="AG83" i="36" s="1"/>
  <c r="AF55" i="36"/>
  <c r="AG55" i="36" s="1"/>
  <c r="AG102" i="36"/>
  <c r="U116" i="36"/>
  <c r="Q114" i="36"/>
  <c r="X114" i="36" s="1"/>
  <c r="AB114" i="36" s="1"/>
  <c r="X9" i="36"/>
  <c r="AB9" i="36" s="1"/>
  <c r="AB116" i="36" s="1"/>
  <c r="Q51" i="36"/>
  <c r="X51" i="36" s="1"/>
  <c r="AB51" i="36" s="1"/>
  <c r="G22" i="30"/>
  <c r="G21" i="30"/>
  <c r="G20" i="30"/>
  <c r="G19" i="30"/>
  <c r="E18" i="30"/>
  <c r="G18" i="30" s="1"/>
  <c r="AH17" i="31"/>
  <c r="E17" i="30"/>
  <c r="G17" i="30" s="1"/>
  <c r="G16" i="30"/>
  <c r="G15" i="30"/>
  <c r="G13" i="30"/>
  <c r="G12" i="30"/>
  <c r="G11" i="30"/>
  <c r="AH86" i="31"/>
  <c r="G10" i="30"/>
  <c r="G9" i="30"/>
  <c r="E14" i="30"/>
  <c r="D14" i="30"/>
  <c r="G7" i="30"/>
  <c r="G6" i="30"/>
  <c r="G5" i="30"/>
  <c r="E8" i="30"/>
  <c r="G8" i="30" s="1"/>
  <c r="G4" i="30"/>
  <c r="I4" i="30" s="1"/>
  <c r="AF9" i="36" l="1"/>
  <c r="AG9" i="36" s="1"/>
  <c r="AG89" i="36"/>
  <c r="AF43" i="36"/>
  <c r="AG41" i="36" s="1"/>
  <c r="AG11" i="36"/>
  <c r="AG20" i="36"/>
  <c r="AG77" i="36"/>
  <c r="Q116" i="36"/>
  <c r="AG57" i="36"/>
  <c r="AG27" i="36"/>
  <c r="AG96" i="36"/>
  <c r="AF114" i="36"/>
  <c r="AG109" i="36" s="1"/>
  <c r="AF51" i="36"/>
  <c r="AG50" i="36" s="1"/>
  <c r="X116" i="36"/>
  <c r="G14" i="30"/>
  <c r="H40" i="32"/>
  <c r="H42" i="32"/>
  <c r="AG116" i="36" l="1"/>
  <c r="AF116" i="36"/>
  <c r="G14" i="32"/>
  <c r="G24" i="32"/>
  <c r="G23" i="32"/>
  <c r="G18" i="32"/>
  <c r="G12" i="32"/>
  <c r="G11" i="32"/>
  <c r="E11" i="33"/>
  <c r="E10" i="33" s="1"/>
  <c r="H11" i="33"/>
  <c r="P29" i="29"/>
  <c r="P17" i="29"/>
  <c r="P21" i="29"/>
  <c r="P22" i="29"/>
  <c r="P28" i="29"/>
  <c r="P31" i="29"/>
  <c r="P33" i="29"/>
  <c r="P34" i="29"/>
  <c r="P36" i="29"/>
  <c r="P44" i="29"/>
  <c r="P49" i="29"/>
  <c r="P50" i="29"/>
  <c r="P53" i="29"/>
  <c r="P55" i="29"/>
  <c r="P59" i="29"/>
  <c r="P60" i="29"/>
  <c r="P61" i="29"/>
  <c r="P64" i="29"/>
  <c r="P79" i="29"/>
  <c r="P81" i="29"/>
  <c r="P89" i="29"/>
  <c r="P90" i="29"/>
  <c r="G10" i="33"/>
  <c r="G9" i="33" s="1"/>
  <c r="G13" i="33" s="1"/>
  <c r="F10" i="33"/>
  <c r="F9" i="33" s="1"/>
  <c r="F13" i="33" s="1"/>
  <c r="D10" i="33"/>
  <c r="D9" i="33"/>
  <c r="D13" i="33" s="1"/>
  <c r="C9" i="33"/>
  <c r="C13" i="33" s="1"/>
  <c r="E40" i="32"/>
  <c r="G40" i="32" s="1"/>
  <c r="F38" i="32"/>
  <c r="E38" i="32"/>
  <c r="E39" i="32" s="1"/>
  <c r="G39" i="32" s="1"/>
  <c r="G35" i="32"/>
  <c r="G34" i="32" s="1"/>
  <c r="G33" i="32"/>
  <c r="G32" i="32"/>
  <c r="G31" i="32"/>
  <c r="G27" i="32"/>
  <c r="G26" i="32"/>
  <c r="G25" i="32"/>
  <c r="G22" i="32"/>
  <c r="G21" i="32" s="1"/>
  <c r="H21" i="32"/>
  <c r="G20" i="32"/>
  <c r="G19" i="32"/>
  <c r="G17" i="32"/>
  <c r="G16" i="32"/>
  <c r="G13" i="32"/>
  <c r="G10" i="32"/>
  <c r="G9" i="32"/>
  <c r="G24" i="30"/>
  <c r="H24" i="30" l="1"/>
  <c r="G15" i="32"/>
  <c r="G8" i="32"/>
  <c r="E9" i="33"/>
  <c r="E13" i="33" s="1"/>
  <c r="I11" i="33"/>
  <c r="I10" i="33"/>
  <c r="I9" i="33" s="1"/>
  <c r="I13" i="33" s="1"/>
  <c r="H9" i="33"/>
  <c r="H13" i="33" s="1"/>
  <c r="G38" i="32"/>
  <c r="G37" i="32" s="1"/>
  <c r="H8" i="32" l="1"/>
  <c r="G30" i="32" s="1"/>
  <c r="G29" i="32" s="1"/>
  <c r="G7" i="32" s="1"/>
  <c r="I6" i="32" s="1"/>
  <c r="I8" i="32"/>
  <c r="G6" i="32" l="1"/>
  <c r="O30" i="31" l="1"/>
  <c r="AB30" i="31" s="1"/>
  <c r="AG115" i="31"/>
  <c r="W115" i="31"/>
  <c r="V115" i="31"/>
  <c r="S115" i="31"/>
  <c r="P115" i="31"/>
  <c r="N115" i="31"/>
  <c r="M115" i="31"/>
  <c r="J115" i="31"/>
  <c r="I115" i="31"/>
  <c r="F115" i="31"/>
  <c r="AD114" i="31"/>
  <c r="R114" i="31"/>
  <c r="L114" i="31"/>
  <c r="AB114" i="31" s="1"/>
  <c r="AD113" i="31"/>
  <c r="R113" i="31"/>
  <c r="K113" i="31"/>
  <c r="AD112" i="31"/>
  <c r="AC112" i="31"/>
  <c r="AB112" i="31"/>
  <c r="U112" i="31"/>
  <c r="R112" i="31"/>
  <c r="Q112" i="31"/>
  <c r="X112" i="31" s="1"/>
  <c r="AA112" i="31" s="1"/>
  <c r="AD111" i="31"/>
  <c r="AC111" i="31"/>
  <c r="AB111" i="31"/>
  <c r="U111" i="31"/>
  <c r="R111" i="31"/>
  <c r="Q111" i="31"/>
  <c r="X111" i="31" s="1"/>
  <c r="AA111" i="31" s="1"/>
  <c r="AD110" i="31"/>
  <c r="AC110" i="31"/>
  <c r="AB110" i="31"/>
  <c r="U110" i="31"/>
  <c r="R110" i="31"/>
  <c r="Q110" i="31"/>
  <c r="X110" i="31" s="1"/>
  <c r="AA110" i="31" s="1"/>
  <c r="AD109" i="31"/>
  <c r="AA109" i="31"/>
  <c r="AD108" i="31"/>
  <c r="AA108" i="31"/>
  <c r="R108" i="31"/>
  <c r="L108" i="31"/>
  <c r="U108" i="31" s="1"/>
  <c r="E108" i="31"/>
  <c r="E115" i="31" s="1"/>
  <c r="AD107" i="31"/>
  <c r="AC107" i="31"/>
  <c r="AB107" i="31"/>
  <c r="AA107" i="31"/>
  <c r="U107" i="31"/>
  <c r="R107" i="31"/>
  <c r="Q107" i="31"/>
  <c r="AD106" i="31"/>
  <c r="AA106" i="31"/>
  <c r="R106" i="31"/>
  <c r="L106" i="31"/>
  <c r="AC106" i="31" s="1"/>
  <c r="AD105" i="31"/>
  <c r="AC105" i="31"/>
  <c r="AB105" i="31"/>
  <c r="U105" i="31"/>
  <c r="R105" i="31"/>
  <c r="Q105" i="31"/>
  <c r="X105" i="31" s="1"/>
  <c r="AA105" i="31" s="1"/>
  <c r="AD104" i="31"/>
  <c r="AC104" i="31"/>
  <c r="AB104" i="31"/>
  <c r="U104" i="31"/>
  <c r="R104" i="31"/>
  <c r="Q104" i="31"/>
  <c r="X104" i="31" s="1"/>
  <c r="AA104" i="31" s="1"/>
  <c r="AD103" i="31"/>
  <c r="AC103" i="31"/>
  <c r="AB103" i="31"/>
  <c r="U103" i="31"/>
  <c r="R103" i="31"/>
  <c r="Q103" i="31"/>
  <c r="X103" i="31" s="1"/>
  <c r="AA103" i="31" s="1"/>
  <c r="AD102" i="31"/>
  <c r="AC102" i="31"/>
  <c r="AB102" i="31"/>
  <c r="AA102" i="31"/>
  <c r="U102" i="31"/>
  <c r="R102" i="31"/>
  <c r="Q102" i="31"/>
  <c r="AD101" i="31"/>
  <c r="AC101" i="31"/>
  <c r="AB101" i="31"/>
  <c r="AA101" i="31"/>
  <c r="U101" i="31"/>
  <c r="R101" i="31"/>
  <c r="Q101" i="31"/>
  <c r="AD100" i="31"/>
  <c r="AC100" i="31"/>
  <c r="AB100" i="31"/>
  <c r="AA100" i="31"/>
  <c r="U100" i="31"/>
  <c r="R100" i="31"/>
  <c r="Q100" i="31"/>
  <c r="AD99" i="31"/>
  <c r="AA99" i="31"/>
  <c r="R99" i="31"/>
  <c r="L99" i="31"/>
  <c r="AC99" i="31" s="1"/>
  <c r="AD98" i="31"/>
  <c r="R98" i="31"/>
  <c r="L98" i="31"/>
  <c r="Q98" i="31" s="1"/>
  <c r="X98" i="31" s="1"/>
  <c r="AA98" i="31" s="1"/>
  <c r="AH97" i="31"/>
  <c r="AD97" i="31"/>
  <c r="R97" i="31"/>
  <c r="L97" i="31"/>
  <c r="AB97" i="31" s="1"/>
  <c r="AD96" i="31"/>
  <c r="R96" i="31"/>
  <c r="L96" i="31"/>
  <c r="AB96" i="31" s="1"/>
  <c r="AD95" i="31"/>
  <c r="R95" i="31"/>
  <c r="L95" i="31"/>
  <c r="Q95" i="31" s="1"/>
  <c r="X95" i="31" s="1"/>
  <c r="AA95" i="31" s="1"/>
  <c r="AD94" i="31"/>
  <c r="R94" i="31"/>
  <c r="L94" i="31"/>
  <c r="AC94" i="31" s="1"/>
  <c r="AH93" i="31"/>
  <c r="AD93" i="31"/>
  <c r="AC93" i="31"/>
  <c r="AB93" i="31"/>
  <c r="U93" i="31"/>
  <c r="R93" i="31"/>
  <c r="Q93" i="31"/>
  <c r="X93" i="31" s="1"/>
  <c r="AA93" i="31" s="1"/>
  <c r="AD92" i="31"/>
  <c r="R92" i="31"/>
  <c r="L92" i="31"/>
  <c r="AC92" i="31" s="1"/>
  <c r="AH91" i="31"/>
  <c r="AD91" i="31"/>
  <c r="AC91" i="31"/>
  <c r="AB91" i="31"/>
  <c r="AA91" i="31"/>
  <c r="U91" i="31"/>
  <c r="R91" i="31"/>
  <c r="Q91" i="31"/>
  <c r="AD90" i="31"/>
  <c r="R90" i="31"/>
  <c r="L90" i="31"/>
  <c r="AC90" i="31" s="1"/>
  <c r="AD89" i="31"/>
  <c r="R89" i="31"/>
  <c r="L89" i="31"/>
  <c r="Q89" i="31" s="1"/>
  <c r="X89" i="31" s="1"/>
  <c r="AA89" i="31" s="1"/>
  <c r="AD88" i="31"/>
  <c r="L88" i="31"/>
  <c r="AB88" i="31" s="1"/>
  <c r="AH87" i="31"/>
  <c r="AD87" i="31"/>
  <c r="AC87" i="31"/>
  <c r="AB87" i="31"/>
  <c r="AA87" i="31"/>
  <c r="U87" i="31"/>
  <c r="AD86" i="31"/>
  <c r="AA86" i="31"/>
  <c r="R86" i="31"/>
  <c r="L86" i="31"/>
  <c r="AC86" i="31" s="1"/>
  <c r="AD85" i="31"/>
  <c r="AC85" i="31"/>
  <c r="AB85" i="31"/>
  <c r="U85" i="31"/>
  <c r="R85" i="31"/>
  <c r="Q85" i="31"/>
  <c r="AD84" i="31"/>
  <c r="AC84" i="31"/>
  <c r="AB84" i="31"/>
  <c r="U84" i="31"/>
  <c r="R84" i="31"/>
  <c r="Q84" i="31"/>
  <c r="X84" i="31" s="1"/>
  <c r="AA84" i="31" s="1"/>
  <c r="AD83" i="31"/>
  <c r="R83" i="31"/>
  <c r="L83" i="31"/>
  <c r="Q83" i="31" s="1"/>
  <c r="X83" i="31" s="1"/>
  <c r="AA83" i="31" s="1"/>
  <c r="AD82" i="31"/>
  <c r="AC82" i="31"/>
  <c r="AB82" i="31"/>
  <c r="U82" i="31"/>
  <c r="R82" i="31"/>
  <c r="Q82" i="31"/>
  <c r="X82" i="31" s="1"/>
  <c r="AA82" i="31" s="1"/>
  <c r="AD81" i="31"/>
  <c r="AC81" i="31"/>
  <c r="AB81" i="31"/>
  <c r="Y81" i="31"/>
  <c r="AA81" i="31" s="1"/>
  <c r="U81" i="31"/>
  <c r="R81" i="31"/>
  <c r="Q81" i="31"/>
  <c r="AD80" i="31"/>
  <c r="AA80" i="31"/>
  <c r="R80" i="31"/>
  <c r="L80" i="31"/>
  <c r="AC80" i="31" s="1"/>
  <c r="K80" i="31"/>
  <c r="AH79" i="31"/>
  <c r="AD79" i="31"/>
  <c r="AC79" i="31"/>
  <c r="AB79" i="31"/>
  <c r="U79" i="31"/>
  <c r="R79" i="31"/>
  <c r="Q79" i="31"/>
  <c r="X79" i="31" s="1"/>
  <c r="AA79" i="31" s="1"/>
  <c r="AD78" i="31"/>
  <c r="AC78" i="31"/>
  <c r="AB78" i="31"/>
  <c r="U78" i="31"/>
  <c r="R78" i="31"/>
  <c r="Q78" i="31"/>
  <c r="X78" i="31" s="1"/>
  <c r="AA78" i="31" s="1"/>
  <c r="AD77" i="31"/>
  <c r="AC77" i="31"/>
  <c r="AB77" i="31"/>
  <c r="U77" i="31"/>
  <c r="R77" i="31"/>
  <c r="Q77" i="31"/>
  <c r="X77" i="31" s="1"/>
  <c r="AA77" i="31" s="1"/>
  <c r="AD76" i="31"/>
  <c r="R76" i="31"/>
  <c r="L76" i="31"/>
  <c r="AB76" i="31" s="1"/>
  <c r="AD75" i="31"/>
  <c r="AC75" i="31"/>
  <c r="AB75" i="31"/>
  <c r="U75" i="31"/>
  <c r="R75" i="31"/>
  <c r="Q75" i="31"/>
  <c r="X75" i="31" s="1"/>
  <c r="AA75" i="31" s="1"/>
  <c r="AD74" i="31"/>
  <c r="AC74" i="31"/>
  <c r="AB74" i="31"/>
  <c r="U74" i="31"/>
  <c r="R74" i="31"/>
  <c r="Q74" i="31"/>
  <c r="X74" i="31" s="1"/>
  <c r="AA74" i="31" s="1"/>
  <c r="AD73" i="31"/>
  <c r="AC73" i="31"/>
  <c r="AB73" i="31"/>
  <c r="U73" i="31"/>
  <c r="R73" i="31"/>
  <c r="Q73" i="31"/>
  <c r="X73" i="31" s="1"/>
  <c r="AA73" i="31" s="1"/>
  <c r="AD72" i="31"/>
  <c r="R72" i="31"/>
  <c r="L72" i="31"/>
  <c r="Q72" i="31" s="1"/>
  <c r="X72" i="31" s="1"/>
  <c r="AA72" i="31" s="1"/>
  <c r="K72" i="31"/>
  <c r="AH71" i="31"/>
  <c r="AD71" i="31"/>
  <c r="AC71" i="31"/>
  <c r="AB71" i="31"/>
  <c r="U71" i="31"/>
  <c r="R71" i="31"/>
  <c r="Q71" i="31"/>
  <c r="X71" i="31" s="1"/>
  <c r="AA71" i="31" s="1"/>
  <c r="AD70" i="31"/>
  <c r="AC70" i="31"/>
  <c r="AB70" i="31"/>
  <c r="AA70" i="31"/>
  <c r="U70" i="31"/>
  <c r="Q70" i="31"/>
  <c r="AH69" i="31"/>
  <c r="AD69" i="31"/>
  <c r="AC69" i="31"/>
  <c r="AB69" i="31"/>
  <c r="U69" i="31"/>
  <c r="Q69" i="31"/>
  <c r="X69" i="31" s="1"/>
  <c r="AA69" i="31" s="1"/>
  <c r="AD68" i="31"/>
  <c r="AC68" i="31"/>
  <c r="AB68" i="31"/>
  <c r="Y68" i="31"/>
  <c r="AA68" i="31" s="1"/>
  <c r="X68" i="31"/>
  <c r="AD67" i="31"/>
  <c r="AC67" i="31"/>
  <c r="AB67" i="31"/>
  <c r="AA67" i="31"/>
  <c r="U67" i="31"/>
  <c r="R67" i="31"/>
  <c r="Q67" i="31"/>
  <c r="AH67" i="31" s="1"/>
  <c r="AD66" i="31"/>
  <c r="R66" i="31"/>
  <c r="L66" i="31"/>
  <c r="AB66" i="31" s="1"/>
  <c r="AD65" i="31"/>
  <c r="R65" i="31"/>
  <c r="L65" i="31"/>
  <c r="AB65" i="31" s="1"/>
  <c r="AD64" i="31"/>
  <c r="R64" i="31"/>
  <c r="L64" i="31"/>
  <c r="AB64" i="31" s="1"/>
  <c r="AK63" i="31"/>
  <c r="AD63" i="31"/>
  <c r="AC63" i="31"/>
  <c r="AB63" i="31"/>
  <c r="Y63" i="31"/>
  <c r="X63" i="31"/>
  <c r="U63" i="31"/>
  <c r="AD62" i="31"/>
  <c r="AC62" i="31"/>
  <c r="AB62" i="31"/>
  <c r="AA62" i="31"/>
  <c r="U62" i="31"/>
  <c r="R62" i="31"/>
  <c r="Q62" i="31"/>
  <c r="AH62" i="31" s="1"/>
  <c r="AD61" i="31"/>
  <c r="AC61" i="31"/>
  <c r="AB61" i="31"/>
  <c r="U61" i="31"/>
  <c r="R61" i="31"/>
  <c r="Q61" i="31"/>
  <c r="X61" i="31" s="1"/>
  <c r="AA61" i="31" s="1"/>
  <c r="AD60" i="31"/>
  <c r="AC60" i="31"/>
  <c r="AB60" i="31"/>
  <c r="U60" i="31"/>
  <c r="R60" i="31"/>
  <c r="Q60" i="31"/>
  <c r="X60" i="31" s="1"/>
  <c r="AA60" i="31" s="1"/>
  <c r="AD59" i="31"/>
  <c r="R59" i="31"/>
  <c r="L59" i="31"/>
  <c r="AB59" i="31" s="1"/>
  <c r="AD58" i="31"/>
  <c r="AC58" i="31"/>
  <c r="AB58" i="31"/>
  <c r="U58" i="31"/>
  <c r="R58" i="31"/>
  <c r="Q58" i="31"/>
  <c r="X58" i="31" s="1"/>
  <c r="AA58" i="31" s="1"/>
  <c r="AD57" i="31"/>
  <c r="AC57" i="31"/>
  <c r="AB57" i="31"/>
  <c r="AA57" i="31"/>
  <c r="U57" i="31"/>
  <c r="AD56" i="31"/>
  <c r="AA56" i="31"/>
  <c r="L56" i="31"/>
  <c r="AC56" i="31" s="1"/>
  <c r="AD55" i="31"/>
  <c r="AC55" i="31"/>
  <c r="AB55" i="31"/>
  <c r="U55" i="31"/>
  <c r="R55" i="31"/>
  <c r="Q55" i="31"/>
  <c r="X55" i="31" s="1"/>
  <c r="AA55" i="31" s="1"/>
  <c r="AD54" i="31"/>
  <c r="R54" i="31"/>
  <c r="L54" i="31"/>
  <c r="Q54" i="31" s="1"/>
  <c r="X54" i="31" s="1"/>
  <c r="AA54" i="31" s="1"/>
  <c r="K54" i="31"/>
  <c r="AD53" i="31"/>
  <c r="AC53" i="31"/>
  <c r="AB53" i="31"/>
  <c r="U53" i="31"/>
  <c r="R53" i="31"/>
  <c r="Q53" i="31"/>
  <c r="X53" i="31" s="1"/>
  <c r="AA53" i="31" s="1"/>
  <c r="AD52" i="31"/>
  <c r="R52" i="31"/>
  <c r="L52" i="31"/>
  <c r="AD51" i="31"/>
  <c r="AC51" i="31"/>
  <c r="AB51" i="31"/>
  <c r="U51" i="31"/>
  <c r="R51" i="31"/>
  <c r="Q51" i="31"/>
  <c r="AD50" i="31"/>
  <c r="R50" i="31"/>
  <c r="L50" i="31"/>
  <c r="AB50" i="31" s="1"/>
  <c r="K50" i="31"/>
  <c r="AD49" i="31"/>
  <c r="AC49" i="31"/>
  <c r="AB49" i="31"/>
  <c r="U49" i="31"/>
  <c r="R49" i="31"/>
  <c r="Q49" i="31"/>
  <c r="X49" i="31" s="1"/>
  <c r="AA49" i="31" s="1"/>
  <c r="AD48" i="31"/>
  <c r="AC48" i="31"/>
  <c r="AB48" i="31"/>
  <c r="AA48" i="31"/>
  <c r="U48" i="31"/>
  <c r="AD47" i="31"/>
  <c r="AC47" i="31"/>
  <c r="AB47" i="31"/>
  <c r="X47" i="31"/>
  <c r="AA47" i="31" s="1"/>
  <c r="U47" i="31"/>
  <c r="R47" i="31"/>
  <c r="Q47" i="31"/>
  <c r="AD46" i="31"/>
  <c r="AC46" i="31"/>
  <c r="AB46" i="31"/>
  <c r="AA46" i="31"/>
  <c r="U46" i="31"/>
  <c r="R46" i="31"/>
  <c r="Q46" i="31"/>
  <c r="AD45" i="31"/>
  <c r="R45" i="31"/>
  <c r="L45" i="31"/>
  <c r="AB45" i="31" s="1"/>
  <c r="AD44" i="31"/>
  <c r="AC44" i="31"/>
  <c r="AB44" i="31"/>
  <c r="U44" i="31"/>
  <c r="Q44" i="31"/>
  <c r="X44" i="31" s="1"/>
  <c r="AA44" i="31" s="1"/>
  <c r="AD43" i="31"/>
  <c r="AC43" i="31"/>
  <c r="AB43" i="31"/>
  <c r="U43" i="31"/>
  <c r="R43" i="31"/>
  <c r="Q43" i="31"/>
  <c r="AD42" i="31"/>
  <c r="R42" i="31"/>
  <c r="K42" i="31"/>
  <c r="L42" i="31" s="1"/>
  <c r="Q42" i="31" s="1"/>
  <c r="X42" i="31" s="1"/>
  <c r="AA42" i="31" s="1"/>
  <c r="AD41" i="31"/>
  <c r="AC41" i="31"/>
  <c r="AB41" i="31"/>
  <c r="U41" i="31"/>
  <c r="Q41" i="31"/>
  <c r="X41" i="31" s="1"/>
  <c r="AA41" i="31" s="1"/>
  <c r="AD40" i="31"/>
  <c r="AC40" i="31"/>
  <c r="AB40" i="31"/>
  <c r="U40" i="31"/>
  <c r="R40" i="31"/>
  <c r="Q40" i="31"/>
  <c r="X40" i="31" s="1"/>
  <c r="AA40" i="31" s="1"/>
  <c r="AD39" i="31"/>
  <c r="AC39" i="31"/>
  <c r="AB39" i="31"/>
  <c r="Y39" i="31"/>
  <c r="AA39" i="31" s="1"/>
  <c r="X39" i="31"/>
  <c r="U39" i="31"/>
  <c r="R39" i="31"/>
  <c r="Q39" i="31"/>
  <c r="AH38" i="31"/>
  <c r="AD38" i="31"/>
  <c r="AB38" i="31"/>
  <c r="AA38" i="31"/>
  <c r="U38" i="31"/>
  <c r="R38" i="31"/>
  <c r="Q38" i="31"/>
  <c r="L38" i="31"/>
  <c r="AC38" i="31" s="1"/>
  <c r="AH37" i="31"/>
  <c r="AD37" i="31"/>
  <c r="AC37" i="31"/>
  <c r="AB37" i="31"/>
  <c r="Y37" i="31"/>
  <c r="AA37" i="31" s="1"/>
  <c r="U37" i="31"/>
  <c r="R37" i="31"/>
  <c r="AD36" i="31"/>
  <c r="AA36" i="31"/>
  <c r="R36" i="31"/>
  <c r="L36" i="31"/>
  <c r="AH35" i="31"/>
  <c r="AD35" i="31"/>
  <c r="AC35" i="31"/>
  <c r="AB35" i="31"/>
  <c r="Y35" i="31"/>
  <c r="X35" i="31"/>
  <c r="AA35" i="31" s="1"/>
  <c r="AD34" i="31"/>
  <c r="AC34" i="31"/>
  <c r="AB34" i="31"/>
  <c r="X34" i="31"/>
  <c r="AA34" i="31" s="1"/>
  <c r="AD33" i="31"/>
  <c r="AA33" i="31"/>
  <c r="R33" i="31"/>
  <c r="L33" i="31"/>
  <c r="AB33" i="31" s="1"/>
  <c r="AD32" i="31"/>
  <c r="AC32" i="31"/>
  <c r="AB32" i="31"/>
  <c r="U32" i="31"/>
  <c r="R32" i="31"/>
  <c r="Q32" i="31"/>
  <c r="X32" i="31" s="1"/>
  <c r="AA32" i="31" s="1"/>
  <c r="AD31" i="31"/>
  <c r="AC31" i="31"/>
  <c r="AB31" i="31"/>
  <c r="U31" i="31"/>
  <c r="R31" i="31"/>
  <c r="Q31" i="31"/>
  <c r="X31" i="31" s="1"/>
  <c r="AA31" i="31" s="1"/>
  <c r="AD30" i="31"/>
  <c r="R30" i="31"/>
  <c r="AD29" i="31"/>
  <c r="AC29" i="31"/>
  <c r="AB29" i="31"/>
  <c r="U29" i="31"/>
  <c r="R29" i="31"/>
  <c r="Q29" i="31"/>
  <c r="X29" i="31" s="1"/>
  <c r="AA29" i="31" s="1"/>
  <c r="AD28" i="31"/>
  <c r="R28" i="31"/>
  <c r="L28" i="31"/>
  <c r="AC28" i="31" s="1"/>
  <c r="AD27" i="31"/>
  <c r="R27" i="31"/>
  <c r="L27" i="31"/>
  <c r="AB27" i="31" s="1"/>
  <c r="AD26" i="31"/>
  <c r="R26" i="31"/>
  <c r="L26" i="31"/>
  <c r="AD25" i="31"/>
  <c r="R25" i="31"/>
  <c r="L25" i="31"/>
  <c r="Q25" i="31" s="1"/>
  <c r="X25" i="31" s="1"/>
  <c r="AA25" i="31" s="1"/>
  <c r="AD24" i="31"/>
  <c r="R24" i="31"/>
  <c r="L24" i="31"/>
  <c r="AD23" i="31"/>
  <c r="R23" i="31"/>
  <c r="Q23" i="31"/>
  <c r="X23" i="31" s="1"/>
  <c r="AA23" i="31" s="1"/>
  <c r="L23" i="31"/>
  <c r="AC23" i="31" s="1"/>
  <c r="AD22" i="31"/>
  <c r="L22" i="31"/>
  <c r="AD21" i="31"/>
  <c r="R21" i="31"/>
  <c r="L21" i="31"/>
  <c r="Q21" i="31" s="1"/>
  <c r="X21" i="31" s="1"/>
  <c r="AA21" i="31" s="1"/>
  <c r="AD20" i="31"/>
  <c r="R20" i="31"/>
  <c r="L20" i="31"/>
  <c r="AD19" i="31"/>
  <c r="AC19" i="31"/>
  <c r="AB19" i="31"/>
  <c r="U19" i="31"/>
  <c r="R19" i="31"/>
  <c r="Q19" i="31"/>
  <c r="X19" i="31" s="1"/>
  <c r="AA19" i="31" s="1"/>
  <c r="AD18" i="31"/>
  <c r="AC18" i="31"/>
  <c r="AB18" i="31"/>
  <c r="U18" i="31"/>
  <c r="Q18" i="31"/>
  <c r="X18" i="31" s="1"/>
  <c r="AA18" i="31" s="1"/>
  <c r="AD17" i="31"/>
  <c r="AC17" i="31"/>
  <c r="AB17" i="31"/>
  <c r="AA17" i="31"/>
  <c r="Y17" i="31"/>
  <c r="U17" i="31"/>
  <c r="AH16" i="31"/>
  <c r="AD16" i="31"/>
  <c r="AA16" i="31"/>
  <c r="L16" i="31"/>
  <c r="AB16" i="31" s="1"/>
  <c r="AD15" i="31"/>
  <c r="AC15" i="31"/>
  <c r="AB15" i="31"/>
  <c r="Y15" i="31"/>
  <c r="AA15" i="31" s="1"/>
  <c r="U15" i="31"/>
  <c r="AD14" i="31"/>
  <c r="AA14" i="31"/>
  <c r="L14" i="31"/>
  <c r="AD13" i="31"/>
  <c r="AB13" i="31"/>
  <c r="R13" i="31"/>
  <c r="L13" i="31"/>
  <c r="AD12" i="31"/>
  <c r="R12" i="31"/>
  <c r="L12" i="31"/>
  <c r="AB12" i="31" s="1"/>
  <c r="AD11" i="31"/>
  <c r="R11" i="31"/>
  <c r="L11" i="31"/>
  <c r="AB11" i="31" s="1"/>
  <c r="AD10" i="31"/>
  <c r="R10" i="31"/>
  <c r="L10" i="31"/>
  <c r="U10" i="31" s="1"/>
  <c r="AD9" i="31"/>
  <c r="U9" i="31"/>
  <c r="R9" i="31"/>
  <c r="Q9" i="31"/>
  <c r="X9" i="31" s="1"/>
  <c r="AA9" i="31" s="1"/>
  <c r="K9" i="31"/>
  <c r="AB9" i="31" s="1"/>
  <c r="AD8" i="31"/>
  <c r="R8" i="31"/>
  <c r="L8" i="31"/>
  <c r="K8" i="31"/>
  <c r="U23" i="31" l="1"/>
  <c r="K115" i="31"/>
  <c r="AC9" i="31"/>
  <c r="AB23" i="31"/>
  <c r="AB95" i="31"/>
  <c r="Q86" i="31"/>
  <c r="AI86" i="31" s="1"/>
  <c r="AB86" i="31"/>
  <c r="U86" i="31"/>
  <c r="AE40" i="31"/>
  <c r="Q45" i="31"/>
  <c r="X45" i="31" s="1"/>
  <c r="AA45" i="31" s="1"/>
  <c r="AE78" i="31"/>
  <c r="Q27" i="31"/>
  <c r="X27" i="31" s="1"/>
  <c r="AA27" i="31" s="1"/>
  <c r="AC30" i="31"/>
  <c r="AE31" i="31"/>
  <c r="AE32" i="31"/>
  <c r="AE73" i="31"/>
  <c r="AB89" i="31"/>
  <c r="AC97" i="31"/>
  <c r="AE100" i="31"/>
  <c r="O115" i="31"/>
  <c r="AC27" i="31"/>
  <c r="Q30" i="31"/>
  <c r="X30" i="31" s="1"/>
  <c r="AA30" i="31" s="1"/>
  <c r="Q97" i="31"/>
  <c r="X97" i="31" s="1"/>
  <c r="AA97" i="31" s="1"/>
  <c r="AB99" i="31"/>
  <c r="AC33" i="31"/>
  <c r="AE44" i="31"/>
  <c r="AE60" i="31"/>
  <c r="AE71" i="31"/>
  <c r="U96" i="31"/>
  <c r="Q99" i="31"/>
  <c r="AE104" i="31"/>
  <c r="AF104" i="31" s="1"/>
  <c r="Q114" i="31"/>
  <c r="X114" i="31" s="1"/>
  <c r="AA114" i="31" s="1"/>
  <c r="AE29" i="31"/>
  <c r="AE53" i="31"/>
  <c r="AB56" i="31"/>
  <c r="AB108" i="31"/>
  <c r="AE9" i="31"/>
  <c r="AE48" i="31"/>
  <c r="Q56" i="31"/>
  <c r="AB83" i="31"/>
  <c r="Q88" i="31"/>
  <c r="X88" i="31" s="1"/>
  <c r="AA88" i="31" s="1"/>
  <c r="Q96" i="31"/>
  <c r="X96" i="31" s="1"/>
  <c r="AA96" i="31" s="1"/>
  <c r="Q108" i="31"/>
  <c r="AC64" i="31"/>
  <c r="Q10" i="31"/>
  <c r="X10" i="31" s="1"/>
  <c r="AA10" i="31" s="1"/>
  <c r="AB10" i="31"/>
  <c r="Q16" i="31"/>
  <c r="AE23" i="31"/>
  <c r="U28" i="31"/>
  <c r="U33" i="31"/>
  <c r="AE37" i="31"/>
  <c r="AE58" i="31"/>
  <c r="AE62" i="31"/>
  <c r="Q64" i="31"/>
  <c r="X64" i="31" s="1"/>
  <c r="AA64" i="31" s="1"/>
  <c r="AE68" i="31"/>
  <c r="AE87" i="31"/>
  <c r="AC96" i="31"/>
  <c r="AB98" i="31"/>
  <c r="Q106" i="31"/>
  <c r="AB106" i="31"/>
  <c r="AE107" i="31"/>
  <c r="AC108" i="31"/>
  <c r="AE110" i="31"/>
  <c r="AC10" i="31"/>
  <c r="AE15" i="31"/>
  <c r="U16" i="31"/>
  <c r="AB21" i="31"/>
  <c r="AB25" i="31"/>
  <c r="U27" i="31"/>
  <c r="AB28" i="31"/>
  <c r="U30" i="31"/>
  <c r="AE34" i="31"/>
  <c r="AE35" i="31"/>
  <c r="AC45" i="31"/>
  <c r="AE49" i="31"/>
  <c r="U56" i="31"/>
  <c r="AE84" i="31"/>
  <c r="AE85" i="31"/>
  <c r="U88" i="31"/>
  <c r="AE91" i="31"/>
  <c r="U97" i="31"/>
  <c r="U99" i="31"/>
  <c r="U114" i="31"/>
  <c r="AC16" i="31"/>
  <c r="AB8" i="31"/>
  <c r="AE17" i="31"/>
  <c r="Q28" i="31"/>
  <c r="X28" i="31" s="1"/>
  <c r="AA28" i="31" s="1"/>
  <c r="Q33" i="31"/>
  <c r="AE41" i="31"/>
  <c r="X43" i="31"/>
  <c r="AA43" i="31" s="1"/>
  <c r="AE43" i="31" s="1"/>
  <c r="AF43" i="31" s="1"/>
  <c r="AE47" i="31"/>
  <c r="AE57" i="31"/>
  <c r="U64" i="31"/>
  <c r="AE69" i="31"/>
  <c r="AE70" i="31"/>
  <c r="AE75" i="31"/>
  <c r="AF75" i="31" s="1"/>
  <c r="AC88" i="31"/>
  <c r="AE101" i="31"/>
  <c r="AE102" i="31"/>
  <c r="U106" i="31"/>
  <c r="AE109" i="31"/>
  <c r="AC114" i="31"/>
  <c r="AC14" i="31"/>
  <c r="Q14" i="31"/>
  <c r="AE19" i="31"/>
  <c r="AC24" i="31"/>
  <c r="U24" i="31"/>
  <c r="AB24" i="31"/>
  <c r="Q24" i="31"/>
  <c r="X24" i="31" s="1"/>
  <c r="AA24" i="31" s="1"/>
  <c r="AC26" i="31"/>
  <c r="U26" i="31"/>
  <c r="AB26" i="31"/>
  <c r="Q26" i="31"/>
  <c r="X26" i="31" s="1"/>
  <c r="AA26" i="31" s="1"/>
  <c r="AC11" i="31"/>
  <c r="U11" i="31"/>
  <c r="Q11" i="31"/>
  <c r="X11" i="31" s="1"/>
  <c r="AA11" i="31" s="1"/>
  <c r="U14" i="31"/>
  <c r="AE18" i="31"/>
  <c r="AC20" i="31"/>
  <c r="U20" i="31"/>
  <c r="AB20" i="31"/>
  <c r="Q20" i="31"/>
  <c r="X20" i="31" s="1"/>
  <c r="AA20" i="31" s="1"/>
  <c r="AC22" i="31"/>
  <c r="U22" i="31"/>
  <c r="AB22" i="31"/>
  <c r="Q22" i="31"/>
  <c r="X22" i="31" s="1"/>
  <c r="AA22" i="31" s="1"/>
  <c r="AE38" i="31"/>
  <c r="AE39" i="31"/>
  <c r="Q52" i="31"/>
  <c r="X52" i="31" s="1"/>
  <c r="AA52" i="31" s="1"/>
  <c r="AC52" i="31"/>
  <c r="U52" i="31"/>
  <c r="AB52" i="31"/>
  <c r="AD115" i="31"/>
  <c r="Q12" i="31"/>
  <c r="X12" i="31" s="1"/>
  <c r="AA12" i="31" s="1"/>
  <c r="AC12" i="31"/>
  <c r="U12" i="31"/>
  <c r="U36" i="31"/>
  <c r="AC36" i="31"/>
  <c r="AB36" i="31"/>
  <c r="Q36" i="31"/>
  <c r="AH36" i="31" s="1"/>
  <c r="R115" i="31"/>
  <c r="AC13" i="31"/>
  <c r="U13" i="31"/>
  <c r="Q13" i="31"/>
  <c r="X13" i="31" s="1"/>
  <c r="AA13" i="31" s="1"/>
  <c r="AB14" i="31"/>
  <c r="AE46" i="31"/>
  <c r="X51" i="31"/>
  <c r="AA51" i="31" s="1"/>
  <c r="AE51" i="31" s="1"/>
  <c r="AH51" i="31"/>
  <c r="AE61" i="31"/>
  <c r="Q8" i="31"/>
  <c r="U21" i="31"/>
  <c r="AC21" i="31"/>
  <c r="U25" i="31"/>
  <c r="AC25" i="31"/>
  <c r="AB42" i="31"/>
  <c r="U45" i="31"/>
  <c r="AC54" i="31"/>
  <c r="AB54" i="31"/>
  <c r="AC59" i="31"/>
  <c r="U59" i="31"/>
  <c r="Q59" i="31"/>
  <c r="X59" i="31" s="1"/>
  <c r="AA59" i="31" s="1"/>
  <c r="Q65" i="31"/>
  <c r="X65" i="31" s="1"/>
  <c r="AA65" i="31" s="1"/>
  <c r="AC65" i="31"/>
  <c r="U65" i="31"/>
  <c r="AE67" i="31"/>
  <c r="AC72" i="31"/>
  <c r="AB72" i="31"/>
  <c r="AE74" i="31"/>
  <c r="AE79" i="31"/>
  <c r="AE93" i="31"/>
  <c r="AE103" i="31"/>
  <c r="AF103" i="31" s="1"/>
  <c r="AE111" i="31"/>
  <c r="U42" i="31"/>
  <c r="AC42" i="31"/>
  <c r="Q50" i="31"/>
  <c r="X50" i="31" s="1"/>
  <c r="AA50" i="31" s="1"/>
  <c r="AE55" i="31"/>
  <c r="AF55" i="31" s="1"/>
  <c r="AC66" i="31"/>
  <c r="U66" i="31"/>
  <c r="Q66" i="31"/>
  <c r="X66" i="31" s="1"/>
  <c r="AA66" i="31" s="1"/>
  <c r="Q76" i="31"/>
  <c r="X76" i="31" s="1"/>
  <c r="AA76" i="31" s="1"/>
  <c r="AC76" i="31"/>
  <c r="U76" i="31"/>
  <c r="AE82" i="31"/>
  <c r="U8" i="31"/>
  <c r="AC8" i="31"/>
  <c r="AA63" i="31"/>
  <c r="AE63" i="31" s="1"/>
  <c r="AE77" i="31"/>
  <c r="AB80" i="31"/>
  <c r="AE81" i="31"/>
  <c r="AE105" i="31"/>
  <c r="AE112" i="31"/>
  <c r="U50" i="31"/>
  <c r="AC50" i="31"/>
  <c r="U54" i="31"/>
  <c r="U80" i="31"/>
  <c r="U83" i="31"/>
  <c r="AC83" i="31"/>
  <c r="U89" i="31"/>
  <c r="AC89" i="31"/>
  <c r="Q90" i="31"/>
  <c r="X90" i="31" s="1"/>
  <c r="AA90" i="31" s="1"/>
  <c r="Q92" i="31"/>
  <c r="X92" i="31" s="1"/>
  <c r="AA92" i="31" s="1"/>
  <c r="Q94" i="31"/>
  <c r="X94" i="31" s="1"/>
  <c r="AA94" i="31" s="1"/>
  <c r="U95" i="31"/>
  <c r="AC95" i="31"/>
  <c r="U98" i="31"/>
  <c r="AC98" i="31"/>
  <c r="L113" i="31"/>
  <c r="U113" i="31" s="1"/>
  <c r="AB90" i="31"/>
  <c r="AB92" i="31"/>
  <c r="AB94" i="31"/>
  <c r="U72" i="31"/>
  <c r="Q80" i="31"/>
  <c r="U90" i="31"/>
  <c r="U92" i="31"/>
  <c r="U94" i="31"/>
  <c r="AK63" i="28"/>
  <c r="AE33" i="31" l="1"/>
  <c r="AE30" i="31"/>
  <c r="AE86" i="31"/>
  <c r="AB113" i="31"/>
  <c r="AB115" i="31" s="1"/>
  <c r="AE96" i="31"/>
  <c r="AE99" i="31"/>
  <c r="AE28" i="31"/>
  <c r="AE16" i="31"/>
  <c r="AE108" i="31"/>
  <c r="AE114" i="31"/>
  <c r="AE56" i="31"/>
  <c r="Q113" i="31"/>
  <c r="X113" i="31" s="1"/>
  <c r="AA113" i="31" s="1"/>
  <c r="AE64" i="31"/>
  <c r="AE27" i="31"/>
  <c r="AE42" i="31"/>
  <c r="AF40" i="31" s="1"/>
  <c r="AF46" i="31"/>
  <c r="AE97" i="31"/>
  <c r="AE106" i="31"/>
  <c r="AF105" i="31" s="1"/>
  <c r="AF85" i="31"/>
  <c r="AF60" i="31"/>
  <c r="AE83" i="31"/>
  <c r="AF82" i="31" s="1"/>
  <c r="AE80" i="31"/>
  <c r="AF101" i="31"/>
  <c r="AE88" i="31"/>
  <c r="AE89" i="31"/>
  <c r="AE59" i="31"/>
  <c r="AE45" i="31"/>
  <c r="AF44" i="31" s="1"/>
  <c r="AE11" i="31"/>
  <c r="AE54" i="31"/>
  <c r="AF54" i="31" s="1"/>
  <c r="AE66" i="31"/>
  <c r="AE50" i="31"/>
  <c r="AE13" i="31"/>
  <c r="AE10" i="31"/>
  <c r="AE94" i="31"/>
  <c r="AE72" i="31"/>
  <c r="AF69" i="31" s="1"/>
  <c r="AE98" i="31"/>
  <c r="AE25" i="31"/>
  <c r="AC113" i="31"/>
  <c r="AE36" i="31"/>
  <c r="AE52" i="31"/>
  <c r="AE65" i="31"/>
  <c r="AE92" i="31"/>
  <c r="AE76" i="31"/>
  <c r="AE12" i="31"/>
  <c r="L115" i="31"/>
  <c r="AE14" i="31"/>
  <c r="AE90" i="31"/>
  <c r="AE95" i="31"/>
  <c r="AE21" i="31"/>
  <c r="AF38" i="31"/>
  <c r="AE22" i="31"/>
  <c r="AE20" i="31"/>
  <c r="AE26" i="31"/>
  <c r="AE24" i="31"/>
  <c r="U115" i="31"/>
  <c r="Q115" i="31"/>
  <c r="X8" i="31"/>
  <c r="AH97" i="28"/>
  <c r="AF26" i="31" l="1"/>
  <c r="AF31" i="31"/>
  <c r="AF28" i="31"/>
  <c r="AE113" i="31"/>
  <c r="AF108" i="31" s="1"/>
  <c r="AF49" i="31"/>
  <c r="AF56" i="31"/>
  <c r="AF98" i="31"/>
  <c r="AF76" i="31"/>
  <c r="AC115" i="31"/>
  <c r="AF95" i="31"/>
  <c r="AF10" i="31"/>
  <c r="AF23" i="31"/>
  <c r="AF88" i="31"/>
  <c r="AF19" i="31"/>
  <c r="AF64" i="31"/>
  <c r="X115" i="31"/>
  <c r="AA8" i="31"/>
  <c r="AF91" i="31"/>
  <c r="K100" i="29"/>
  <c r="L100" i="29"/>
  <c r="M100" i="29"/>
  <c r="O100" i="29"/>
  <c r="AH79" i="28"/>
  <c r="AA115" i="31" l="1"/>
  <c r="AE8" i="31"/>
  <c r="AD73" i="28"/>
  <c r="AC73" i="28"/>
  <c r="AB73" i="28"/>
  <c r="U73" i="28"/>
  <c r="R73" i="28"/>
  <c r="Q73" i="28"/>
  <c r="X73" i="28" s="1"/>
  <c r="AA73" i="28" s="1"/>
  <c r="AD9" i="28"/>
  <c r="AD10" i="28"/>
  <c r="AD11" i="28"/>
  <c r="AD12" i="28"/>
  <c r="AD13" i="28"/>
  <c r="AD14" i="28"/>
  <c r="AD15" i="28"/>
  <c r="AD16" i="28"/>
  <c r="AD17" i="28"/>
  <c r="AD18" i="28"/>
  <c r="AD55" i="28"/>
  <c r="AD19" i="28"/>
  <c r="AD20" i="28"/>
  <c r="AD21" i="28"/>
  <c r="AD22" i="28"/>
  <c r="AD23" i="28"/>
  <c r="AD24" i="28"/>
  <c r="AD25" i="28"/>
  <c r="AD26" i="28"/>
  <c r="AD27" i="28"/>
  <c r="AD28" i="28"/>
  <c r="AD29" i="28"/>
  <c r="AD30" i="28"/>
  <c r="AD31" i="28"/>
  <c r="AD32" i="28"/>
  <c r="AD33" i="28"/>
  <c r="AD34" i="28"/>
  <c r="AD35" i="28"/>
  <c r="AD36" i="28"/>
  <c r="AD37" i="28"/>
  <c r="AD38" i="28"/>
  <c r="AD39" i="28"/>
  <c r="AD40" i="28"/>
  <c r="AD41" i="28"/>
  <c r="AD42" i="28"/>
  <c r="AD43" i="28"/>
  <c r="AD44" i="28"/>
  <c r="AD45" i="28"/>
  <c r="AD46" i="28"/>
  <c r="AD47" i="28"/>
  <c r="AD48" i="28"/>
  <c r="AD49" i="28"/>
  <c r="AD50" i="28"/>
  <c r="AD51" i="28"/>
  <c r="AD52" i="28"/>
  <c r="AD53" i="28"/>
  <c r="AD54" i="28"/>
  <c r="AD56" i="28"/>
  <c r="AD57" i="28"/>
  <c r="AD58" i="28"/>
  <c r="AD59" i="28"/>
  <c r="AD60" i="28"/>
  <c r="AD61" i="28"/>
  <c r="AD62" i="28"/>
  <c r="AD63" i="28"/>
  <c r="AD64" i="28"/>
  <c r="AD65" i="28"/>
  <c r="AD66" i="28"/>
  <c r="AD67" i="28"/>
  <c r="AD68" i="28"/>
  <c r="AD69" i="28"/>
  <c r="AD70" i="28"/>
  <c r="AD71" i="28"/>
  <c r="AD72" i="28"/>
  <c r="AD75" i="28"/>
  <c r="AD76" i="28"/>
  <c r="AD77" i="28"/>
  <c r="AD78" i="28"/>
  <c r="AD79" i="28"/>
  <c r="AD80" i="28"/>
  <c r="AD81" i="28"/>
  <c r="AD82" i="28"/>
  <c r="AD83" i="28"/>
  <c r="AD84" i="28"/>
  <c r="AD85" i="28"/>
  <c r="AD86" i="28"/>
  <c r="AD87" i="28"/>
  <c r="AD88" i="28"/>
  <c r="AD89" i="28"/>
  <c r="AD90" i="28"/>
  <c r="AD91" i="28"/>
  <c r="AD92" i="28"/>
  <c r="AD93" i="28"/>
  <c r="AD94" i="28"/>
  <c r="AD95" i="28"/>
  <c r="AD96" i="28"/>
  <c r="AD97" i="28"/>
  <c r="AD98" i="28"/>
  <c r="AD99" i="28"/>
  <c r="AD100" i="28"/>
  <c r="AD101" i="28"/>
  <c r="AD102" i="28"/>
  <c r="AD103" i="28"/>
  <c r="AD104" i="28"/>
  <c r="AD105" i="28"/>
  <c r="AD106" i="28"/>
  <c r="AD107" i="28"/>
  <c r="AD108" i="28"/>
  <c r="AD109" i="28"/>
  <c r="AD110" i="28"/>
  <c r="AD111" i="28"/>
  <c r="AD112" i="28"/>
  <c r="AD113" i="28"/>
  <c r="AD114" i="28"/>
  <c r="AD8" i="28"/>
  <c r="AE115" i="31" l="1"/>
  <c r="AF8" i="31"/>
  <c r="AF115" i="31" s="1"/>
  <c r="AE73" i="28"/>
  <c r="F115" i="28"/>
  <c r="I115" i="28"/>
  <c r="J115" i="28"/>
  <c r="N115" i="28"/>
  <c r="O115" i="28"/>
  <c r="P115" i="28"/>
  <c r="S115" i="28"/>
  <c r="V100" i="29"/>
  <c r="N99" i="29"/>
  <c r="U99" i="29" s="1"/>
  <c r="W98" i="29"/>
  <c r="Q98" i="29"/>
  <c r="N98" i="29"/>
  <c r="R97" i="29"/>
  <c r="Q97" i="29"/>
  <c r="N97" i="29"/>
  <c r="W96" i="29"/>
  <c r="Q96" i="29"/>
  <c r="N96" i="29"/>
  <c r="Q95" i="29"/>
  <c r="N95" i="29"/>
  <c r="Y94" i="29"/>
  <c r="W94" i="29"/>
  <c r="Q94" i="29"/>
  <c r="N94" i="29"/>
  <c r="Q93" i="29"/>
  <c r="N93" i="29"/>
  <c r="H93" i="29"/>
  <c r="W92" i="29"/>
  <c r="Q92" i="29"/>
  <c r="N92" i="29"/>
  <c r="W91" i="29"/>
  <c r="Q91" i="29"/>
  <c r="N91" i="29"/>
  <c r="U90" i="29"/>
  <c r="Q90" i="29"/>
  <c r="S90" i="29"/>
  <c r="W70" i="29"/>
  <c r="R70" i="29"/>
  <c r="Q70" i="29"/>
  <c r="N70" i="29"/>
  <c r="W69" i="29"/>
  <c r="Q69" i="29"/>
  <c r="W68" i="29"/>
  <c r="Q68" i="29"/>
  <c r="S68" i="29"/>
  <c r="W67" i="29"/>
  <c r="Q67" i="29"/>
  <c r="N67" i="29"/>
  <c r="X66" i="29"/>
  <c r="W66" i="29"/>
  <c r="Q66" i="29"/>
  <c r="N66" i="29"/>
  <c r="W88" i="29"/>
  <c r="Q88" i="29"/>
  <c r="N88" i="29"/>
  <c r="W87" i="29"/>
  <c r="Q87" i="29"/>
  <c r="N87" i="29"/>
  <c r="W86" i="29"/>
  <c r="Q86" i="29"/>
  <c r="N86" i="29"/>
  <c r="W82" i="29"/>
  <c r="Q82" i="29"/>
  <c r="N82" i="29"/>
  <c r="W81" i="29"/>
  <c r="U81" i="29"/>
  <c r="Q81" i="29"/>
  <c r="S81" i="29"/>
  <c r="W80" i="29"/>
  <c r="Q80" i="29"/>
  <c r="N80" i="29"/>
  <c r="W79" i="29"/>
  <c r="U79" i="29"/>
  <c r="Q79" i="29"/>
  <c r="S79" i="29"/>
  <c r="W78" i="29"/>
  <c r="Q78" i="29"/>
  <c r="N78" i="29"/>
  <c r="W77" i="29"/>
  <c r="R77" i="29"/>
  <c r="Q77" i="29"/>
  <c r="N77" i="29"/>
  <c r="P77" i="29" s="1"/>
  <c r="W76" i="29"/>
  <c r="N76" i="29"/>
  <c r="W75" i="29"/>
  <c r="Q75" i="29"/>
  <c r="N75" i="29"/>
  <c r="W74" i="29"/>
  <c r="Q74" i="29"/>
  <c r="N74" i="29"/>
  <c r="W73" i="29"/>
  <c r="Q73" i="29"/>
  <c r="N73" i="29"/>
  <c r="W72" i="29"/>
  <c r="Q72" i="29"/>
  <c r="N72" i="29"/>
  <c r="W71" i="29"/>
  <c r="Q71" i="29"/>
  <c r="N71" i="29"/>
  <c r="W65" i="29"/>
  <c r="Q65" i="29"/>
  <c r="N65" i="29"/>
  <c r="W64" i="29"/>
  <c r="U64" i="29"/>
  <c r="T64" i="29"/>
  <c r="T100" i="29" s="1"/>
  <c r="Q64" i="29"/>
  <c r="W63" i="29"/>
  <c r="R63" i="29"/>
  <c r="Q63" i="29"/>
  <c r="N63" i="29"/>
  <c r="P63" i="29" s="1"/>
  <c r="W62" i="29"/>
  <c r="Q62" i="29"/>
  <c r="N62" i="29"/>
  <c r="W61" i="29"/>
  <c r="U61" i="29"/>
  <c r="S61" i="29"/>
  <c r="W60" i="29"/>
  <c r="U60" i="29"/>
  <c r="S60" i="29"/>
  <c r="W59" i="29"/>
  <c r="U59" i="29"/>
  <c r="Q59" i="29"/>
  <c r="S59" i="29"/>
  <c r="Q58" i="29"/>
  <c r="N58" i="29"/>
  <c r="Q57" i="29"/>
  <c r="N57" i="29"/>
  <c r="W56" i="29"/>
  <c r="R56" i="29"/>
  <c r="Q56" i="29"/>
  <c r="N56" i="29"/>
  <c r="W55" i="29"/>
  <c r="U55" i="29"/>
  <c r="Q55" i="29"/>
  <c r="S55" i="29"/>
  <c r="W54" i="29"/>
  <c r="Q54" i="29"/>
  <c r="N54" i="29"/>
  <c r="W53" i="29"/>
  <c r="U53" i="29"/>
  <c r="Q53" i="29"/>
  <c r="S53" i="29"/>
  <c r="W52" i="29"/>
  <c r="Q52" i="29"/>
  <c r="N52" i="29"/>
  <c r="W51" i="29"/>
  <c r="Q51" i="29"/>
  <c r="N51" i="29"/>
  <c r="W50" i="29"/>
  <c r="U50" i="29"/>
  <c r="S50" i="29"/>
  <c r="W48" i="29"/>
  <c r="R48" i="29"/>
  <c r="Q48" i="29"/>
  <c r="N48" i="29"/>
  <c r="P48" i="29" s="1"/>
  <c r="W47" i="29"/>
  <c r="Q47" i="29"/>
  <c r="N47" i="29"/>
  <c r="W46" i="29"/>
  <c r="Q46" i="29"/>
  <c r="N46" i="29"/>
  <c r="W45" i="29"/>
  <c r="Q45" i="29"/>
  <c r="N45" i="29"/>
  <c r="U44" i="29"/>
  <c r="S44" i="29"/>
  <c r="R44" i="29"/>
  <c r="Q44" i="29"/>
  <c r="W43" i="29"/>
  <c r="Q43" i="29"/>
  <c r="N43" i="29"/>
  <c r="W40" i="29"/>
  <c r="Q40" i="29"/>
  <c r="N40" i="29"/>
  <c r="W39" i="29"/>
  <c r="N39" i="29"/>
  <c r="W37" i="29"/>
  <c r="R37" i="29"/>
  <c r="Q37" i="29"/>
  <c r="N37" i="29"/>
  <c r="P37" i="29" s="1"/>
  <c r="W36" i="29"/>
  <c r="S36" i="29"/>
  <c r="Q35" i="29"/>
  <c r="N35" i="29"/>
  <c r="Q34" i="29"/>
  <c r="W34" i="29"/>
  <c r="Q33" i="29"/>
  <c r="S33" i="29"/>
  <c r="W32" i="29"/>
  <c r="Q32" i="29"/>
  <c r="N32" i="29"/>
  <c r="W31" i="29"/>
  <c r="U31" i="29"/>
  <c r="Q31" i="29"/>
  <c r="W30" i="29"/>
  <c r="Q30" i="29"/>
  <c r="N30" i="29"/>
  <c r="X29" i="29"/>
  <c r="W29" i="29"/>
  <c r="Q29" i="29"/>
  <c r="S29" i="29"/>
  <c r="W28" i="29"/>
  <c r="U28" i="29"/>
  <c r="Q28" i="29"/>
  <c r="S28" i="29"/>
  <c r="W27" i="29"/>
  <c r="Q27" i="29"/>
  <c r="N27" i="29"/>
  <c r="W26" i="29"/>
  <c r="Q26" i="29"/>
  <c r="N26" i="29"/>
  <c r="W25" i="29"/>
  <c r="Q25" i="29"/>
  <c r="N25" i="29"/>
  <c r="W24" i="29"/>
  <c r="Q24" i="29"/>
  <c r="N24" i="29"/>
  <c r="W23" i="29"/>
  <c r="Q23" i="29"/>
  <c r="N23" i="29"/>
  <c r="W22" i="29"/>
  <c r="U22" i="29"/>
  <c r="Q22" i="29"/>
  <c r="S22" i="29"/>
  <c r="W21" i="29"/>
  <c r="U21" i="29"/>
  <c r="S21" i="29"/>
  <c r="W20" i="29"/>
  <c r="Q20" i="29"/>
  <c r="N20" i="29"/>
  <c r="W19" i="29"/>
  <c r="Q19" i="29"/>
  <c r="N19" i="29"/>
  <c r="W18" i="29"/>
  <c r="Q18" i="29"/>
  <c r="N18" i="29"/>
  <c r="S17" i="29"/>
  <c r="N16" i="29"/>
  <c r="P16" i="29" s="1"/>
  <c r="N15" i="29"/>
  <c r="Q14" i="29"/>
  <c r="N14" i="29"/>
  <c r="P14" i="29" s="1"/>
  <c r="Q13" i="29"/>
  <c r="N13" i="29"/>
  <c r="P13" i="29" s="1"/>
  <c r="Q12" i="29"/>
  <c r="N12" i="29"/>
  <c r="P12" i="29" s="1"/>
  <c r="Q11" i="29"/>
  <c r="N11" i="29"/>
  <c r="P11" i="29" s="1"/>
  <c r="N10" i="29"/>
  <c r="W9" i="29"/>
  <c r="R9" i="29"/>
  <c r="N9" i="29"/>
  <c r="U9" i="29" s="1"/>
  <c r="W89" i="29"/>
  <c r="U89" i="29"/>
  <c r="Q89" i="29"/>
  <c r="W85" i="29"/>
  <c r="Q85" i="29"/>
  <c r="N85" i="29"/>
  <c r="W84" i="29"/>
  <c r="Q84" i="29"/>
  <c r="N84" i="29"/>
  <c r="W83" i="29"/>
  <c r="Q83" i="29"/>
  <c r="N83" i="29"/>
  <c r="W42" i="29"/>
  <c r="Q42" i="29"/>
  <c r="N42" i="29"/>
  <c r="W41" i="29"/>
  <c r="Q41" i="29"/>
  <c r="N41" i="29"/>
  <c r="Q49" i="29"/>
  <c r="W38" i="29"/>
  <c r="Q38" i="29"/>
  <c r="N38" i="29"/>
  <c r="AG115" i="28"/>
  <c r="W115" i="28"/>
  <c r="V115" i="28"/>
  <c r="R114" i="28"/>
  <c r="L114" i="28"/>
  <c r="AB114" i="28" s="1"/>
  <c r="R113" i="28"/>
  <c r="K113" i="28"/>
  <c r="L113" i="28" s="1"/>
  <c r="Q113" i="28" s="1"/>
  <c r="X113" i="28" s="1"/>
  <c r="AA113" i="28" s="1"/>
  <c r="AC112" i="28"/>
  <c r="AB112" i="28"/>
  <c r="U112" i="28"/>
  <c r="R112" i="28"/>
  <c r="Q112" i="28"/>
  <c r="X112" i="28" s="1"/>
  <c r="AA112" i="28" s="1"/>
  <c r="AC111" i="28"/>
  <c r="AB111" i="28"/>
  <c r="U111" i="28"/>
  <c r="R111" i="28"/>
  <c r="Q111" i="28"/>
  <c r="X111" i="28" s="1"/>
  <c r="AA111" i="28" s="1"/>
  <c r="AC110" i="28"/>
  <c r="AB110" i="28"/>
  <c r="U110" i="28"/>
  <c r="R110" i="28"/>
  <c r="Q110" i="28"/>
  <c r="AA109" i="28"/>
  <c r="AE109" i="28" s="1"/>
  <c r="AA108" i="28"/>
  <c r="R108" i="28"/>
  <c r="L108" i="28"/>
  <c r="U108" i="28" s="1"/>
  <c r="E108" i="28"/>
  <c r="E115" i="28" s="1"/>
  <c r="AC107" i="28"/>
  <c r="AB107" i="28"/>
  <c r="AA107" i="28"/>
  <c r="U107" i="28"/>
  <c r="R107" i="28"/>
  <c r="Q107" i="28"/>
  <c r="AA106" i="28"/>
  <c r="R106" i="28"/>
  <c r="L106" i="28"/>
  <c r="U106" i="28" s="1"/>
  <c r="AC105" i="28"/>
  <c r="AB105" i="28"/>
  <c r="U105" i="28"/>
  <c r="R105" i="28"/>
  <c r="Q105" i="28"/>
  <c r="X105" i="28" s="1"/>
  <c r="AA105" i="28" s="1"/>
  <c r="AC104" i="28"/>
  <c r="AB104" i="28"/>
  <c r="U104" i="28"/>
  <c r="R104" i="28"/>
  <c r="Q104" i="28"/>
  <c r="X104" i="28" s="1"/>
  <c r="AA104" i="28" s="1"/>
  <c r="AC103" i="28"/>
  <c r="AB103" i="28"/>
  <c r="U103" i="28"/>
  <c r="R103" i="28"/>
  <c r="Q103" i="28"/>
  <c r="X103" i="28" s="1"/>
  <c r="AA103" i="28" s="1"/>
  <c r="AC102" i="28"/>
  <c r="AB102" i="28"/>
  <c r="AA102" i="28"/>
  <c r="U102" i="28"/>
  <c r="R102" i="28"/>
  <c r="Q102" i="28"/>
  <c r="AC101" i="28"/>
  <c r="AB101" i="28"/>
  <c r="AA101" i="28"/>
  <c r="U101" i="28"/>
  <c r="R101" i="28"/>
  <c r="Q101" i="28"/>
  <c r="AC100" i="28"/>
  <c r="AB100" i="28"/>
  <c r="AA100" i="28"/>
  <c r="U100" i="28"/>
  <c r="R100" i="28"/>
  <c r="Q100" i="28"/>
  <c r="AA99" i="28"/>
  <c r="R99" i="28"/>
  <c r="L99" i="28"/>
  <c r="U99" i="28" s="1"/>
  <c r="R98" i="28"/>
  <c r="L98" i="28"/>
  <c r="AC98" i="28" s="1"/>
  <c r="R97" i="28"/>
  <c r="L97" i="28"/>
  <c r="AC97" i="28" s="1"/>
  <c r="R96" i="28"/>
  <c r="L96" i="28"/>
  <c r="AB96" i="28" s="1"/>
  <c r="R95" i="28"/>
  <c r="L95" i="28"/>
  <c r="AC95" i="28" s="1"/>
  <c r="R94" i="28"/>
  <c r="L94" i="28"/>
  <c r="AH93" i="28"/>
  <c r="AC93" i="28"/>
  <c r="AB93" i="28"/>
  <c r="U93" i="28"/>
  <c r="R93" i="28"/>
  <c r="Q93" i="28"/>
  <c r="X93" i="28" s="1"/>
  <c r="AA93" i="28" s="1"/>
  <c r="R92" i="28"/>
  <c r="L92" i="28"/>
  <c r="AH91" i="28"/>
  <c r="AC91" i="28"/>
  <c r="AB91" i="28"/>
  <c r="AA91" i="28"/>
  <c r="U91" i="28"/>
  <c r="R91" i="28"/>
  <c r="Q91" i="28"/>
  <c r="R90" i="28"/>
  <c r="L90" i="28"/>
  <c r="R89" i="28"/>
  <c r="L89" i="28"/>
  <c r="AC89" i="28" s="1"/>
  <c r="R88" i="28"/>
  <c r="L88" i="28"/>
  <c r="AC88" i="28" s="1"/>
  <c r="AH87" i="28"/>
  <c r="AC87" i="28"/>
  <c r="AB87" i="28"/>
  <c r="AA87" i="28"/>
  <c r="U87" i="28"/>
  <c r="R86" i="28"/>
  <c r="L86" i="28"/>
  <c r="AC86" i="28" s="1"/>
  <c r="AC85" i="28"/>
  <c r="AB85" i="28"/>
  <c r="U85" i="28"/>
  <c r="R85" i="28"/>
  <c r="Q85" i="28"/>
  <c r="AC84" i="28"/>
  <c r="AB84" i="28"/>
  <c r="U84" i="28"/>
  <c r="R84" i="28"/>
  <c r="Q84" i="28"/>
  <c r="X84" i="28" s="1"/>
  <c r="AA84" i="28" s="1"/>
  <c r="R83" i="28"/>
  <c r="L83" i="28"/>
  <c r="AC82" i="28"/>
  <c r="AB82" i="28"/>
  <c r="U82" i="28"/>
  <c r="R82" i="28"/>
  <c r="Q82" i="28"/>
  <c r="X82" i="28" s="1"/>
  <c r="AA82" i="28" s="1"/>
  <c r="AC81" i="28"/>
  <c r="AB81" i="28"/>
  <c r="Y81" i="28"/>
  <c r="AA81" i="28" s="1"/>
  <c r="U81" i="28"/>
  <c r="R81" i="28"/>
  <c r="Q81" i="28"/>
  <c r="AA80" i="28"/>
  <c r="R80" i="28"/>
  <c r="K80" i="28"/>
  <c r="L80" i="28" s="1"/>
  <c r="U80" i="28" s="1"/>
  <c r="AC79" i="28"/>
  <c r="AB79" i="28"/>
  <c r="U79" i="28"/>
  <c r="R79" i="28"/>
  <c r="Q79" i="28"/>
  <c r="X79" i="28" s="1"/>
  <c r="AA79" i="28" s="1"/>
  <c r="AC78" i="28"/>
  <c r="AB78" i="28"/>
  <c r="U78" i="28"/>
  <c r="R78" i="28"/>
  <c r="Q78" i="28"/>
  <c r="X78" i="28" s="1"/>
  <c r="AA78" i="28" s="1"/>
  <c r="AC77" i="28"/>
  <c r="AB77" i="28"/>
  <c r="U77" i="28"/>
  <c r="R77" i="28"/>
  <c r="Q77" i="28"/>
  <c r="X77" i="28" s="1"/>
  <c r="AA77" i="28" s="1"/>
  <c r="R76" i="28"/>
  <c r="L76" i="28"/>
  <c r="U76" i="28" s="1"/>
  <c r="AC75" i="28"/>
  <c r="AB75" i="28"/>
  <c r="U75" i="28"/>
  <c r="R75" i="28"/>
  <c r="Q75" i="28"/>
  <c r="X75" i="28" s="1"/>
  <c r="AA75" i="28" s="1"/>
  <c r="AC74" i="28"/>
  <c r="AB74" i="28"/>
  <c r="U74" i="28"/>
  <c r="R74" i="28"/>
  <c r="Q74" i="28"/>
  <c r="X74" i="28" s="1"/>
  <c r="AA74" i="28" s="1"/>
  <c r="AD74" i="28"/>
  <c r="R72" i="28"/>
  <c r="K72" i="28"/>
  <c r="AH71" i="28"/>
  <c r="AC71" i="28"/>
  <c r="AB71" i="28"/>
  <c r="U71" i="28"/>
  <c r="R71" i="28"/>
  <c r="Q71" i="28"/>
  <c r="X71" i="28" s="1"/>
  <c r="AA71" i="28" s="1"/>
  <c r="AC70" i="28"/>
  <c r="AB70" i="28"/>
  <c r="AA70" i="28"/>
  <c r="U70" i="28"/>
  <c r="R70" i="28"/>
  <c r="Q70" i="28"/>
  <c r="AH69" i="28"/>
  <c r="AC69" i="28"/>
  <c r="AB69" i="28"/>
  <c r="U69" i="28"/>
  <c r="R69" i="28"/>
  <c r="Q69" i="28"/>
  <c r="X69" i="28" s="1"/>
  <c r="AA69" i="28" s="1"/>
  <c r="AC68" i="28"/>
  <c r="AB68" i="28"/>
  <c r="Y68" i="28"/>
  <c r="X68" i="28"/>
  <c r="AC67" i="28"/>
  <c r="AB67" i="28"/>
  <c r="AA67" i="28"/>
  <c r="U67" i="28"/>
  <c r="R67" i="28"/>
  <c r="Q67" i="28"/>
  <c r="AH67" i="28" s="1"/>
  <c r="R66" i="28"/>
  <c r="L66" i="28"/>
  <c r="AC66" i="28" s="1"/>
  <c r="R65" i="28"/>
  <c r="L65" i="28"/>
  <c r="AC65" i="28" s="1"/>
  <c r="R64" i="28"/>
  <c r="L64" i="28"/>
  <c r="AC64" i="28" s="1"/>
  <c r="AC63" i="28"/>
  <c r="AB63" i="28"/>
  <c r="Y63" i="28"/>
  <c r="X63" i="28"/>
  <c r="U63" i="28"/>
  <c r="AC62" i="28"/>
  <c r="AB62" i="28"/>
  <c r="AA62" i="28"/>
  <c r="U62" i="28"/>
  <c r="R62" i="28"/>
  <c r="Q62" i="28"/>
  <c r="AH62" i="28" s="1"/>
  <c r="AC61" i="28"/>
  <c r="AB61" i="28"/>
  <c r="U61" i="28"/>
  <c r="R61" i="28"/>
  <c r="Q61" i="28"/>
  <c r="X61" i="28" s="1"/>
  <c r="AA61" i="28" s="1"/>
  <c r="AC60" i="28"/>
  <c r="AB60" i="28"/>
  <c r="U60" i="28"/>
  <c r="R60" i="28"/>
  <c r="Q60" i="28"/>
  <c r="X60" i="28" s="1"/>
  <c r="AA60" i="28" s="1"/>
  <c r="R59" i="28"/>
  <c r="L59" i="28"/>
  <c r="Q59" i="28" s="1"/>
  <c r="X59" i="28" s="1"/>
  <c r="AA59" i="28" s="1"/>
  <c r="AC58" i="28"/>
  <c r="AB58" i="28"/>
  <c r="U58" i="28"/>
  <c r="R58" i="28"/>
  <c r="Q58" i="28"/>
  <c r="X58" i="28" s="1"/>
  <c r="AA58" i="28" s="1"/>
  <c r="AC57" i="28"/>
  <c r="AB57" i="28"/>
  <c r="AA57" i="28"/>
  <c r="U57" i="28"/>
  <c r="AA56" i="28"/>
  <c r="R56" i="28"/>
  <c r="L56" i="28"/>
  <c r="AC56" i="28" s="1"/>
  <c r="R54" i="28"/>
  <c r="K54" i="28"/>
  <c r="AC53" i="28"/>
  <c r="AB53" i="28"/>
  <c r="U53" i="28"/>
  <c r="R53" i="28"/>
  <c r="Q53" i="28"/>
  <c r="X53" i="28" s="1"/>
  <c r="AA53" i="28" s="1"/>
  <c r="R52" i="28"/>
  <c r="L52" i="28"/>
  <c r="Q52" i="28" s="1"/>
  <c r="X52" i="28" s="1"/>
  <c r="AA52" i="28" s="1"/>
  <c r="AC51" i="28"/>
  <c r="AB51" i="28"/>
  <c r="U51" i="28"/>
  <c r="R51" i="28"/>
  <c r="Q51" i="28"/>
  <c r="R50" i="28"/>
  <c r="K50" i="28"/>
  <c r="AC49" i="28"/>
  <c r="AB49" i="28"/>
  <c r="U49" i="28"/>
  <c r="R49" i="28"/>
  <c r="Q49" i="28"/>
  <c r="X49" i="28" s="1"/>
  <c r="AA49" i="28" s="1"/>
  <c r="AC48" i="28"/>
  <c r="AB48" i="28"/>
  <c r="AA48" i="28"/>
  <c r="U48" i="28"/>
  <c r="AC47" i="28"/>
  <c r="AB47" i="28"/>
  <c r="X47" i="28"/>
  <c r="AA47" i="28" s="1"/>
  <c r="U47" i="28"/>
  <c r="R47" i="28"/>
  <c r="Q47" i="28"/>
  <c r="AC46" i="28"/>
  <c r="AB46" i="28"/>
  <c r="AA46" i="28"/>
  <c r="U46" i="28"/>
  <c r="R46" i="28"/>
  <c r="Q46" i="28"/>
  <c r="R45" i="28"/>
  <c r="L45" i="28"/>
  <c r="AB45" i="28" s="1"/>
  <c r="AC44" i="28"/>
  <c r="AB44" i="28"/>
  <c r="U44" i="28"/>
  <c r="R44" i="28"/>
  <c r="Q44" i="28"/>
  <c r="X44" i="28" s="1"/>
  <c r="AA44" i="28" s="1"/>
  <c r="AC43" i="28"/>
  <c r="AB43" i="28"/>
  <c r="U43" i="28"/>
  <c r="R43" i="28"/>
  <c r="Q43" i="28"/>
  <c r="R42" i="28"/>
  <c r="K42" i="28"/>
  <c r="AC41" i="28"/>
  <c r="AB41" i="28"/>
  <c r="U41" i="28"/>
  <c r="Q41" i="28"/>
  <c r="X41" i="28" s="1"/>
  <c r="AA41" i="28" s="1"/>
  <c r="AC40" i="28"/>
  <c r="AB40" i="28"/>
  <c r="U40" i="28"/>
  <c r="R40" i="28"/>
  <c r="Q40" i="28"/>
  <c r="X40" i="28" s="1"/>
  <c r="AA40" i="28" s="1"/>
  <c r="AC39" i="28"/>
  <c r="AB39" i="28"/>
  <c r="Y39" i="28"/>
  <c r="X39" i="28"/>
  <c r="U39" i="28"/>
  <c r="R39" i="28"/>
  <c r="Q39" i="28"/>
  <c r="AH38" i="28"/>
  <c r="AA38" i="28"/>
  <c r="R38" i="28"/>
  <c r="L38" i="28"/>
  <c r="U38" i="28" s="1"/>
  <c r="AH37" i="28"/>
  <c r="AC37" i="28"/>
  <c r="AB37" i="28"/>
  <c r="Y37" i="28"/>
  <c r="AA37" i="28" s="1"/>
  <c r="U37" i="28"/>
  <c r="R37" i="28"/>
  <c r="AA36" i="28"/>
  <c r="R36" i="28"/>
  <c r="L36" i="28"/>
  <c r="U36" i="28" s="1"/>
  <c r="AH35" i="28"/>
  <c r="AC35" i="28"/>
  <c r="AB35" i="28"/>
  <c r="Y35" i="28"/>
  <c r="X35" i="28"/>
  <c r="AC34" i="28"/>
  <c r="AB34" i="28"/>
  <c r="X34" i="28"/>
  <c r="AA34" i="28" s="1"/>
  <c r="AA33" i="28"/>
  <c r="R33" i="28"/>
  <c r="L33" i="28"/>
  <c r="AC32" i="28"/>
  <c r="AB32" i="28"/>
  <c r="U32" i="28"/>
  <c r="R32" i="28"/>
  <c r="Q32" i="28"/>
  <c r="X32" i="28" s="1"/>
  <c r="AA32" i="28" s="1"/>
  <c r="AC31" i="28"/>
  <c r="AB31" i="28"/>
  <c r="U31" i="28"/>
  <c r="R31" i="28"/>
  <c r="Q31" i="28"/>
  <c r="X31" i="28" s="1"/>
  <c r="AA31" i="28" s="1"/>
  <c r="AC30" i="28"/>
  <c r="AB30" i="28"/>
  <c r="U30" i="28"/>
  <c r="R30" i="28"/>
  <c r="Q30" i="28"/>
  <c r="X30" i="28" s="1"/>
  <c r="AA30" i="28" s="1"/>
  <c r="AC29" i="28"/>
  <c r="AB29" i="28"/>
  <c r="U29" i="28"/>
  <c r="R29" i="28"/>
  <c r="Q29" i="28"/>
  <c r="X29" i="28" s="1"/>
  <c r="AA29" i="28" s="1"/>
  <c r="R28" i="28"/>
  <c r="L28" i="28"/>
  <c r="R27" i="28"/>
  <c r="L27" i="28"/>
  <c r="Q27" i="28" s="1"/>
  <c r="X27" i="28" s="1"/>
  <c r="AA27" i="28" s="1"/>
  <c r="R26" i="28"/>
  <c r="L26" i="28"/>
  <c r="AC26" i="28" s="1"/>
  <c r="R25" i="28"/>
  <c r="L25" i="28"/>
  <c r="U25" i="28" s="1"/>
  <c r="R24" i="28"/>
  <c r="L24" i="28"/>
  <c r="AC24" i="28" s="1"/>
  <c r="R23" i="28"/>
  <c r="L23" i="28"/>
  <c r="Q23" i="28" s="1"/>
  <c r="X23" i="28" s="1"/>
  <c r="AA23" i="28" s="1"/>
  <c r="L22" i="28"/>
  <c r="AC22" i="28" s="1"/>
  <c r="R21" i="28"/>
  <c r="L21" i="28"/>
  <c r="R20" i="28"/>
  <c r="L20" i="28"/>
  <c r="Q20" i="28" s="1"/>
  <c r="X20" i="28" s="1"/>
  <c r="AA20" i="28" s="1"/>
  <c r="AC19" i="28"/>
  <c r="AB19" i="28"/>
  <c r="U19" i="28"/>
  <c r="R19" i="28"/>
  <c r="Q19" i="28"/>
  <c r="X19" i="28" s="1"/>
  <c r="AA19" i="28" s="1"/>
  <c r="AC55" i="28"/>
  <c r="AB55" i="28"/>
  <c r="U55" i="28"/>
  <c r="R55" i="28"/>
  <c r="Q55" i="28"/>
  <c r="X55" i="28" s="1"/>
  <c r="AA55" i="28" s="1"/>
  <c r="AC18" i="28"/>
  <c r="AB18" i="28"/>
  <c r="U18" i="28"/>
  <c r="Q18" i="28"/>
  <c r="X18" i="28" s="1"/>
  <c r="AA18" i="28" s="1"/>
  <c r="AH17" i="28"/>
  <c r="AH16" i="28" s="1"/>
  <c r="AC17" i="28"/>
  <c r="AB17" i="28"/>
  <c r="Y17" i="28"/>
  <c r="AA17" i="28" s="1"/>
  <c r="U17" i="28"/>
  <c r="AA16" i="28"/>
  <c r="L16" i="28"/>
  <c r="AB16" i="28" s="1"/>
  <c r="AC15" i="28"/>
  <c r="AB15" i="28"/>
  <c r="Y15" i="28"/>
  <c r="AA15" i="28" s="1"/>
  <c r="U15" i="28"/>
  <c r="AA14" i="28"/>
  <c r="L14" i="28"/>
  <c r="AB14" i="28" s="1"/>
  <c r="R13" i="28"/>
  <c r="L13" i="28"/>
  <c r="R12" i="28"/>
  <c r="L12" i="28"/>
  <c r="AB12" i="28" s="1"/>
  <c r="R11" i="28"/>
  <c r="L11" i="28"/>
  <c r="AC11" i="28" s="1"/>
  <c r="R10" i="28"/>
  <c r="L10" i="28"/>
  <c r="AB10" i="28" s="1"/>
  <c r="R9" i="28"/>
  <c r="K9" i="28"/>
  <c r="AC9" i="28" s="1"/>
  <c r="R8" i="28"/>
  <c r="L8" i="28"/>
  <c r="K8" i="28"/>
  <c r="K115" i="28" s="1"/>
  <c r="U38" i="29" l="1"/>
  <c r="P38" i="29"/>
  <c r="U41" i="29"/>
  <c r="P41" i="29"/>
  <c r="S41" i="29" s="1"/>
  <c r="P52" i="29"/>
  <c r="S52" i="29" s="1"/>
  <c r="U62" i="29"/>
  <c r="P62" i="29"/>
  <c r="S62" i="29" s="1"/>
  <c r="U73" i="29"/>
  <c r="P73" i="29"/>
  <c r="U84" i="29"/>
  <c r="P84" i="29"/>
  <c r="S84" i="29" s="1"/>
  <c r="P10" i="29"/>
  <c r="S10" i="29" s="1"/>
  <c r="P18" i="29"/>
  <c r="S18" i="29" s="1"/>
  <c r="U23" i="29"/>
  <c r="P23" i="29"/>
  <c r="U27" i="29"/>
  <c r="P27" i="29"/>
  <c r="S27" i="29" s="1"/>
  <c r="U35" i="29"/>
  <c r="P35" i="29"/>
  <c r="P39" i="29"/>
  <c r="S39" i="29" s="1"/>
  <c r="P45" i="29"/>
  <c r="S45" i="29" s="1"/>
  <c r="U51" i="29"/>
  <c r="P51" i="29"/>
  <c r="S51" i="29" s="1"/>
  <c r="U72" i="29"/>
  <c r="P72" i="29"/>
  <c r="U76" i="29"/>
  <c r="P76" i="29"/>
  <c r="S76" i="29" s="1"/>
  <c r="P82" i="29"/>
  <c r="S82" i="29" s="1"/>
  <c r="P66" i="29"/>
  <c r="S66" i="29" s="1"/>
  <c r="U67" i="29"/>
  <c r="P67" i="29"/>
  <c r="U92" i="29"/>
  <c r="P92" i="29"/>
  <c r="U93" i="29"/>
  <c r="P93" i="29"/>
  <c r="S93" i="29" s="1"/>
  <c r="U96" i="29"/>
  <c r="P96" i="29"/>
  <c r="S96" i="29" s="1"/>
  <c r="U97" i="29"/>
  <c r="P97" i="29"/>
  <c r="P19" i="29"/>
  <c r="S19" i="29" s="1"/>
  <c r="U30" i="29"/>
  <c r="P30" i="29"/>
  <c r="P46" i="29"/>
  <c r="S46" i="29" s="1"/>
  <c r="P58" i="29"/>
  <c r="S58" i="29" s="1"/>
  <c r="P86" i="29"/>
  <c r="S86" i="29" s="1"/>
  <c r="U98" i="29"/>
  <c r="P98" i="29"/>
  <c r="S98" i="29" s="1"/>
  <c r="U83" i="29"/>
  <c r="P83" i="29"/>
  <c r="S83" i="29" s="1"/>
  <c r="P15" i="29"/>
  <c r="S15" i="29" s="1"/>
  <c r="U26" i="29"/>
  <c r="P26" i="29"/>
  <c r="S26" i="29" s="1"/>
  <c r="U32" i="29"/>
  <c r="P32" i="29"/>
  <c r="S32" i="29" s="1"/>
  <c r="U43" i="29"/>
  <c r="P43" i="29"/>
  <c r="S43" i="29" s="1"/>
  <c r="U56" i="29"/>
  <c r="P56" i="29"/>
  <c r="P57" i="29"/>
  <c r="S57" i="29" s="1"/>
  <c r="U71" i="29"/>
  <c r="P71" i="29"/>
  <c r="U75" i="29"/>
  <c r="P75" i="29"/>
  <c r="S75" i="29" s="1"/>
  <c r="U80" i="29"/>
  <c r="P80" i="29"/>
  <c r="U88" i="29"/>
  <c r="P88" i="29"/>
  <c r="S88" i="29" s="1"/>
  <c r="U91" i="29"/>
  <c r="P91" i="29"/>
  <c r="U85" i="29"/>
  <c r="P85" i="29"/>
  <c r="S85" i="29" s="1"/>
  <c r="U24" i="29"/>
  <c r="P24" i="29"/>
  <c r="U42" i="29"/>
  <c r="P42" i="29"/>
  <c r="S42" i="29" s="1"/>
  <c r="P20" i="29"/>
  <c r="S20" i="29" s="1"/>
  <c r="U25" i="29"/>
  <c r="P25" i="29"/>
  <c r="S25" i="29" s="1"/>
  <c r="U40" i="29"/>
  <c r="P40" i="29"/>
  <c r="S40" i="29" s="1"/>
  <c r="P47" i="29"/>
  <c r="U54" i="29"/>
  <c r="P54" i="29"/>
  <c r="S54" i="29" s="1"/>
  <c r="U65" i="29"/>
  <c r="P65" i="29"/>
  <c r="S65" i="29" s="1"/>
  <c r="U74" i="29"/>
  <c r="P74" i="29"/>
  <c r="S74" i="29" s="1"/>
  <c r="P78" i="29"/>
  <c r="S78" i="29" s="1"/>
  <c r="P87" i="29"/>
  <c r="S87" i="29" s="1"/>
  <c r="U70" i="29"/>
  <c r="P70" i="29"/>
  <c r="S70" i="29" s="1"/>
  <c r="U94" i="29"/>
  <c r="P94" i="29"/>
  <c r="P95" i="29"/>
  <c r="S95" i="29" s="1"/>
  <c r="P9" i="29"/>
  <c r="S9" i="29" s="1"/>
  <c r="S23" i="29"/>
  <c r="S24" i="29"/>
  <c r="S72" i="29"/>
  <c r="S73" i="29"/>
  <c r="S80" i="29"/>
  <c r="W33" i="29"/>
  <c r="U20" i="29"/>
  <c r="S77" i="29"/>
  <c r="U86" i="29"/>
  <c r="S35" i="29"/>
  <c r="S37" i="29"/>
  <c r="S48" i="29"/>
  <c r="S63" i="29"/>
  <c r="S67" i="29"/>
  <c r="S91" i="29"/>
  <c r="S92" i="29"/>
  <c r="W93" i="29"/>
  <c r="H100" i="29"/>
  <c r="S94" i="29"/>
  <c r="S34" i="29"/>
  <c r="R100" i="29"/>
  <c r="S71" i="29"/>
  <c r="Q100" i="29"/>
  <c r="U11" i="29"/>
  <c r="N100" i="29"/>
  <c r="X110" i="28"/>
  <c r="AA110" i="28" s="1"/>
  <c r="AE110" i="28" s="1"/>
  <c r="AG110" i="28"/>
  <c r="Q36" i="28"/>
  <c r="AH36" i="28" s="1"/>
  <c r="AA35" i="28"/>
  <c r="AE35" i="28" s="1"/>
  <c r="AC36" i="28"/>
  <c r="AB9" i="28"/>
  <c r="Q38" i="28"/>
  <c r="AB38" i="28"/>
  <c r="Q9" i="28"/>
  <c r="X9" i="28" s="1"/>
  <c r="AA9" i="28" s="1"/>
  <c r="AC38" i="28"/>
  <c r="AB36" i="28"/>
  <c r="AA39" i="28"/>
  <c r="AE39" i="28" s="1"/>
  <c r="AA68" i="28"/>
  <c r="AE68" i="28" s="1"/>
  <c r="AC114" i="28"/>
  <c r="AC14" i="28"/>
  <c r="Q99" i="28"/>
  <c r="U12" i="28"/>
  <c r="AB22" i="28"/>
  <c r="AB27" i="28"/>
  <c r="U56" i="28"/>
  <c r="Q114" i="28"/>
  <c r="X114" i="28" s="1"/>
  <c r="AA114" i="28" s="1"/>
  <c r="Q98" i="28"/>
  <c r="X98" i="28" s="1"/>
  <c r="AA98" i="28" s="1"/>
  <c r="AB26" i="28"/>
  <c r="Q88" i="28"/>
  <c r="X88" i="28" s="1"/>
  <c r="AA88" i="28" s="1"/>
  <c r="Q86" i="28"/>
  <c r="Q89" i="28"/>
  <c r="X89" i="28" s="1"/>
  <c r="AA89" i="28" s="1"/>
  <c r="AB86" i="28"/>
  <c r="AC99" i="28"/>
  <c r="AC96" i="28"/>
  <c r="Q24" i="28"/>
  <c r="X24" i="28" s="1"/>
  <c r="AA24" i="28" s="1"/>
  <c r="Q95" i="28"/>
  <c r="X95" i="28" s="1"/>
  <c r="AA95" i="28" s="1"/>
  <c r="Q96" i="28"/>
  <c r="X96" i="28" s="1"/>
  <c r="AA96" i="28" s="1"/>
  <c r="Q108" i="28"/>
  <c r="Q12" i="28"/>
  <c r="X12" i="28" s="1"/>
  <c r="AA12" i="28" s="1"/>
  <c r="U20" i="28"/>
  <c r="Q22" i="28"/>
  <c r="X22" i="28" s="1"/>
  <c r="AA22" i="28" s="1"/>
  <c r="AC45" i="28"/>
  <c r="U52" i="28"/>
  <c r="AB99" i="28"/>
  <c r="AE100" i="28"/>
  <c r="AE103" i="28"/>
  <c r="AF103" i="28" s="1"/>
  <c r="U22" i="28"/>
  <c r="AB24" i="28"/>
  <c r="AB52" i="28"/>
  <c r="AE69" i="28"/>
  <c r="AB95" i="28"/>
  <c r="U96" i="28"/>
  <c r="AC27" i="28"/>
  <c r="AE71" i="28"/>
  <c r="Q76" i="28"/>
  <c r="X76" i="28" s="1"/>
  <c r="AA76" i="28" s="1"/>
  <c r="AC76" i="28"/>
  <c r="AE81" i="28"/>
  <c r="Q97" i="28"/>
  <c r="AE111" i="28"/>
  <c r="Q8" i="28"/>
  <c r="X8" i="28" s="1"/>
  <c r="U10" i="28"/>
  <c r="AC12" i="28"/>
  <c r="U14" i="28"/>
  <c r="AE14" i="28" s="1"/>
  <c r="AB20" i="28"/>
  <c r="Q26" i="28"/>
  <c r="X26" i="28" s="1"/>
  <c r="AA26" i="28" s="1"/>
  <c r="AE44" i="28"/>
  <c r="AC52" i="28"/>
  <c r="AE78" i="28"/>
  <c r="AE84" i="28"/>
  <c r="AB89" i="28"/>
  <c r="AB98" i="28"/>
  <c r="AE101" i="28"/>
  <c r="AC106" i="28"/>
  <c r="AB108" i="28"/>
  <c r="AE112" i="28"/>
  <c r="AC113" i="28"/>
  <c r="U114" i="28"/>
  <c r="AB76" i="28"/>
  <c r="Q64" i="28"/>
  <c r="X64" i="28" s="1"/>
  <c r="AA64" i="28" s="1"/>
  <c r="Q106" i="28"/>
  <c r="AB106" i="28"/>
  <c r="AE106" i="28" s="1"/>
  <c r="AE107" i="28"/>
  <c r="R115" i="28"/>
  <c r="AC10" i="28"/>
  <c r="AE15" i="28"/>
  <c r="AC20" i="28"/>
  <c r="U27" i="28"/>
  <c r="U45" i="28"/>
  <c r="AE47" i="28"/>
  <c r="AB64" i="28"/>
  <c r="AE91" i="28"/>
  <c r="AE105" i="28"/>
  <c r="M115" i="28"/>
  <c r="AE19" i="28"/>
  <c r="AE30" i="28"/>
  <c r="Q65" i="28"/>
  <c r="X65" i="28" s="1"/>
  <c r="AA65" i="28" s="1"/>
  <c r="AE17" i="28"/>
  <c r="AE34" i="28"/>
  <c r="AE62" i="28"/>
  <c r="AE67" i="28"/>
  <c r="AE70" i="28"/>
  <c r="AE75" i="28"/>
  <c r="AF75" i="28" s="1"/>
  <c r="AB65" i="28"/>
  <c r="U16" i="28"/>
  <c r="AE18" i="28"/>
  <c r="AE46" i="28"/>
  <c r="AE58" i="28"/>
  <c r="AE87" i="28"/>
  <c r="AC16" i="28"/>
  <c r="AE37" i="28"/>
  <c r="AE41" i="28"/>
  <c r="S14" i="29"/>
  <c r="W14" i="29"/>
  <c r="U16" i="29"/>
  <c r="S16" i="29"/>
  <c r="W13" i="29"/>
  <c r="U13" i="29"/>
  <c r="S13" i="29"/>
  <c r="U18" i="29"/>
  <c r="U45" i="29"/>
  <c r="U47" i="29"/>
  <c r="U78" i="29"/>
  <c r="W15" i="29"/>
  <c r="U39" i="29"/>
  <c r="S56" i="29"/>
  <c r="U95" i="29"/>
  <c r="U19" i="29"/>
  <c r="U46" i="29"/>
  <c r="U52" i="29"/>
  <c r="U82" i="29"/>
  <c r="U87" i="29"/>
  <c r="U66" i="29"/>
  <c r="AC13" i="28"/>
  <c r="U13" i="28"/>
  <c r="AB13" i="28"/>
  <c r="AC28" i="28"/>
  <c r="U28" i="28"/>
  <c r="AB28" i="28"/>
  <c r="Q28" i="28"/>
  <c r="X28" i="28" s="1"/>
  <c r="AA28" i="28" s="1"/>
  <c r="Q13" i="28"/>
  <c r="X13" i="28" s="1"/>
  <c r="AA13" i="28" s="1"/>
  <c r="AE55" i="28"/>
  <c r="AF55" i="28" s="1"/>
  <c r="AC21" i="28"/>
  <c r="U21" i="28"/>
  <c r="AB21" i="28"/>
  <c r="AB25" i="28"/>
  <c r="Q25" i="28"/>
  <c r="X25" i="28" s="1"/>
  <c r="AA25" i="28" s="1"/>
  <c r="AC25" i="28"/>
  <c r="AE31" i="28"/>
  <c r="AE49" i="28"/>
  <c r="AE53" i="28"/>
  <c r="AE60" i="28"/>
  <c r="AE61" i="28"/>
  <c r="AE77" i="28"/>
  <c r="AC94" i="28"/>
  <c r="U94" i="28"/>
  <c r="AB94" i="28"/>
  <c r="Q94" i="28"/>
  <c r="X94" i="28" s="1"/>
  <c r="AA94" i="28" s="1"/>
  <c r="Q11" i="28"/>
  <c r="X11" i="28" s="1"/>
  <c r="AA11" i="28" s="1"/>
  <c r="AB8" i="28"/>
  <c r="U9" i="28"/>
  <c r="Q10" i="28"/>
  <c r="X10" i="28" s="1"/>
  <c r="AA10" i="28" s="1"/>
  <c r="AB11" i="28"/>
  <c r="Q21" i="28"/>
  <c r="X21" i="28" s="1"/>
  <c r="AA21" i="28" s="1"/>
  <c r="AE29" i="28"/>
  <c r="AE40" i="28"/>
  <c r="X43" i="28"/>
  <c r="AA43" i="28" s="1"/>
  <c r="AE43" i="28" s="1"/>
  <c r="AF43" i="28" s="1"/>
  <c r="AG43" i="28"/>
  <c r="AE48" i="28"/>
  <c r="AB66" i="28"/>
  <c r="Q66" i="28"/>
  <c r="X66" i="28" s="1"/>
  <c r="AA66" i="28" s="1"/>
  <c r="U66" i="28"/>
  <c r="U8" i="28"/>
  <c r="AC8" i="28"/>
  <c r="U11" i="28"/>
  <c r="AC23" i="28"/>
  <c r="U23" i="28"/>
  <c r="AB23" i="28"/>
  <c r="AE32" i="28"/>
  <c r="U33" i="28"/>
  <c r="AC33" i="28"/>
  <c r="AB33" i="28"/>
  <c r="Q33" i="28"/>
  <c r="X51" i="28"/>
  <c r="AA51" i="28" s="1"/>
  <c r="AE51" i="28" s="1"/>
  <c r="AH51" i="28"/>
  <c r="L54" i="28"/>
  <c r="AC54" i="28" s="1"/>
  <c r="AE57" i="28"/>
  <c r="AB59" i="28"/>
  <c r="AC90" i="28"/>
  <c r="U90" i="28"/>
  <c r="AB90" i="28"/>
  <c r="Q90" i="28"/>
  <c r="X90" i="28" s="1"/>
  <c r="AA90" i="28" s="1"/>
  <c r="AC92" i="28"/>
  <c r="U92" i="28"/>
  <c r="AB92" i="28"/>
  <c r="Q92" i="28"/>
  <c r="X92" i="28" s="1"/>
  <c r="AA92" i="28" s="1"/>
  <c r="U24" i="28"/>
  <c r="U26" i="28"/>
  <c r="L42" i="28"/>
  <c r="AB42" i="28" s="1"/>
  <c r="Q45" i="28"/>
  <c r="X45" i="28" s="1"/>
  <c r="AA45" i="28" s="1"/>
  <c r="L50" i="28"/>
  <c r="AB50" i="28" s="1"/>
  <c r="Q56" i="28"/>
  <c r="AB56" i="28"/>
  <c r="AC59" i="28"/>
  <c r="AE102" i="28"/>
  <c r="Q14" i="28"/>
  <c r="Q16" i="28"/>
  <c r="U59" i="28"/>
  <c r="AA63" i="28"/>
  <c r="AE63" i="28" s="1"/>
  <c r="L72" i="28"/>
  <c r="U72" i="28" s="1"/>
  <c r="AE79" i="28"/>
  <c r="AC80" i="28"/>
  <c r="AB80" i="28"/>
  <c r="Q80" i="28"/>
  <c r="AE82" i="28"/>
  <c r="AC83" i="28"/>
  <c r="U83" i="28"/>
  <c r="AB83" i="28"/>
  <c r="Q83" i="28"/>
  <c r="X83" i="28" s="1"/>
  <c r="AA83" i="28" s="1"/>
  <c r="AE85" i="28"/>
  <c r="AE93" i="28"/>
  <c r="AE104" i="28"/>
  <c r="AF104" i="28" s="1"/>
  <c r="U64" i="28"/>
  <c r="U65" i="28"/>
  <c r="AD115" i="28"/>
  <c r="U86" i="28"/>
  <c r="AB88" i="28"/>
  <c r="U89" i="28"/>
  <c r="U95" i="28"/>
  <c r="AB97" i="28"/>
  <c r="U98" i="28"/>
  <c r="AC108" i="28"/>
  <c r="AB113" i="28"/>
  <c r="U88" i="28"/>
  <c r="U97" i="28"/>
  <c r="U113" i="28"/>
  <c r="U15" i="29" l="1"/>
  <c r="Y98" i="29"/>
  <c r="S47" i="29"/>
  <c r="Y47" i="29"/>
  <c r="W11" i="29"/>
  <c r="W35" i="29"/>
  <c r="S11" i="29"/>
  <c r="P100" i="29"/>
  <c r="AA86" i="28"/>
  <c r="AH86" i="28"/>
  <c r="AI86" i="28" s="1"/>
  <c r="AE36" i="28"/>
  <c r="AE9" i="28"/>
  <c r="AE38" i="28"/>
  <c r="AF38" i="28" s="1"/>
  <c r="AC72" i="28"/>
  <c r="AE56" i="28"/>
  <c r="AE114" i="28"/>
  <c r="AE12" i="28"/>
  <c r="X97" i="28"/>
  <c r="AA97" i="28" s="1"/>
  <c r="AE97" i="28" s="1"/>
  <c r="AE95" i="28"/>
  <c r="AE25" i="28"/>
  <c r="AE52" i="28"/>
  <c r="AE27" i="28"/>
  <c r="AE96" i="28"/>
  <c r="AE99" i="28"/>
  <c r="AE86" i="28"/>
  <c r="AF85" i="28" s="1"/>
  <c r="AE26" i="28"/>
  <c r="AE22" i="28"/>
  <c r="AE24" i="28"/>
  <c r="AE108" i="28"/>
  <c r="AE89" i="28"/>
  <c r="AE65" i="28"/>
  <c r="AB54" i="28"/>
  <c r="AE10" i="28"/>
  <c r="AE20" i="28"/>
  <c r="AE76" i="28"/>
  <c r="AE16" i="28"/>
  <c r="AF105" i="28"/>
  <c r="AE92" i="28"/>
  <c r="U42" i="28"/>
  <c r="AE113" i="28"/>
  <c r="AE80" i="28"/>
  <c r="Q72" i="28"/>
  <c r="X72" i="28" s="1"/>
  <c r="AA72" i="28" s="1"/>
  <c r="AE90" i="28"/>
  <c r="L115" i="28"/>
  <c r="AE98" i="28"/>
  <c r="AE64" i="28"/>
  <c r="AF101" i="28"/>
  <c r="AE45" i="28"/>
  <c r="AF44" i="28" s="1"/>
  <c r="AE13" i="28"/>
  <c r="AE11" i="28"/>
  <c r="AE59" i="28"/>
  <c r="AF46" i="28"/>
  <c r="Y96" i="29"/>
  <c r="S97" i="29"/>
  <c r="S12" i="29"/>
  <c r="S100" i="29" s="1"/>
  <c r="U12" i="29"/>
  <c r="U100" i="29" s="1"/>
  <c r="W12" i="29"/>
  <c r="AE74" i="28"/>
  <c r="U50" i="28"/>
  <c r="U54" i="28"/>
  <c r="Q50" i="28"/>
  <c r="X50" i="28" s="1"/>
  <c r="AA50" i="28" s="1"/>
  <c r="AE66" i="28"/>
  <c r="AB72" i="28"/>
  <c r="AB115" i="28" s="1"/>
  <c r="AC42" i="28"/>
  <c r="Q54" i="28"/>
  <c r="X54" i="28" s="1"/>
  <c r="AA54" i="28" s="1"/>
  <c r="AE33" i="28"/>
  <c r="AE23" i="28"/>
  <c r="AE94" i="28"/>
  <c r="AF60" i="28"/>
  <c r="AA8" i="28"/>
  <c r="Q42" i="28"/>
  <c r="X42" i="28" s="1"/>
  <c r="AA42" i="28" s="1"/>
  <c r="AE88" i="28"/>
  <c r="AE83" i="28"/>
  <c r="AF82" i="28" s="1"/>
  <c r="AC50" i="28"/>
  <c r="AE21" i="28"/>
  <c r="AE28" i="28"/>
  <c r="AF28" i="28" s="1"/>
  <c r="AF31" i="28" l="1"/>
  <c r="AC115" i="28"/>
  <c r="AF26" i="28"/>
  <c r="U115" i="28"/>
  <c r="AF56" i="28"/>
  <c r="AF95" i="28"/>
  <c r="AE72" i="28"/>
  <c r="AF69" i="28" s="1"/>
  <c r="AF19" i="28"/>
  <c r="AF91" i="28"/>
  <c r="AF10" i="28"/>
  <c r="AF76" i="28"/>
  <c r="AF23" i="28"/>
  <c r="AF98" i="28"/>
  <c r="AF64" i="28"/>
  <c r="AF108" i="28"/>
  <c r="AF88" i="28"/>
  <c r="Q115" i="28"/>
  <c r="AE42" i="28"/>
  <c r="AF40" i="28" s="1"/>
  <c r="AA115" i="28"/>
  <c r="AE8" i="28"/>
  <c r="X115" i="28"/>
  <c r="AE54" i="28"/>
  <c r="AF54" i="28" s="1"/>
  <c r="AE50" i="28"/>
  <c r="AF49" i="28" s="1"/>
  <c r="AE115" i="28" l="1"/>
  <c r="AF8" i="28"/>
  <c r="AF115" i="2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29" authorId="0" shapeId="0" xr:uid="{00000000-0006-0000-0300-000001000000}">
      <text>
        <r>
          <rPr>
            <sz val="9"/>
            <color indexed="81"/>
            <rFont val="Tahoma"/>
            <family val="2"/>
          </rPr>
          <t xml:space="preserve">7% đến 10% dự toán chi
</t>
        </r>
      </text>
    </comment>
  </commentList>
</comments>
</file>

<file path=xl/sharedStrings.xml><?xml version="1.0" encoding="utf-8"?>
<sst xmlns="http://schemas.openxmlformats.org/spreadsheetml/2006/main" count="2661" uniqueCount="461">
  <si>
    <t>STT</t>
  </si>
  <si>
    <t>Đại diện hộ gia đình, cá nhân sử dụng đất</t>
  </si>
  <si>
    <t>Xứ đồng</t>
  </si>
  <si>
    <t>Theo Bản đồ GPMB</t>
  </si>
  <si>
    <t>Ghi chú</t>
  </si>
  <si>
    <t>Tờ BĐ</t>
  </si>
  <si>
    <t>Loại đất</t>
  </si>
  <si>
    <t>LUC</t>
  </si>
  <si>
    <t>Nguyễn Thị</t>
  </si>
  <si>
    <t>Sơn</t>
  </si>
  <si>
    <t>Trần Văn</t>
  </si>
  <si>
    <t>Thắng</t>
  </si>
  <si>
    <t>Loại đất thu hồi</t>
  </si>
  <si>
    <t>Diện tích
(m2)</t>
  </si>
  <si>
    <t>Đất NN đã được cấp GCNQSD đất hoặc có trong sổ địa chính 
(m2)</t>
  </si>
  <si>
    <t>Số TT</t>
  </si>
  <si>
    <t>Thửa số</t>
  </si>
  <si>
    <t>Diện tích thu hồi
(m2)</t>
  </si>
  <si>
    <t xml:space="preserve">Đơn giá </t>
  </si>
  <si>
    <t>Thành tiền (đ)</t>
  </si>
  <si>
    <t>Loại hoa màu, tài sản</t>
  </si>
  <si>
    <t>ĐVT</t>
  </si>
  <si>
    <t>Số lượng (theo quy định về mật độ)</t>
  </si>
  <si>
    <t>Mức BT, hỗ trợ
(%)</t>
  </si>
  <si>
    <t>m2</t>
  </si>
  <si>
    <t>TỔNG CỘNG:</t>
  </si>
  <si>
    <t>CỘNG:</t>
  </si>
  <si>
    <t>Ninh</t>
  </si>
  <si>
    <t>Diện tích đã thu hồi tại dự án khác (m2)</t>
  </si>
  <si>
    <t>Địa điểm: TDP An Phong, phường Tân Tiến, tỉnh Bắc Ninh</t>
  </si>
  <si>
    <t>Trong Chỉ giới thu hồi</t>
  </si>
  <si>
    <t>Ngoài chỉ giới thu hồi</t>
  </si>
  <si>
    <t>Tăng Văn</t>
  </si>
  <si>
    <t>Bờ Vó</t>
  </si>
  <si>
    <t>Diện tích
 đã thu hồi tại dự án khác
(m2)</t>
  </si>
  <si>
    <t>Thửa
số</t>
  </si>
  <si>
    <t>Đất công ích do UBND phường quản lý
(m2)</t>
  </si>
  <si>
    <t xml:space="preserve">Tăng Văn </t>
  </si>
  <si>
    <t>Sườn Non
 Ngò</t>
  </si>
  <si>
    <t>Chũng Ngò</t>
  </si>
  <si>
    <t>ST</t>
  </si>
  <si>
    <t>Đỗ Thị</t>
  </si>
  <si>
    <t>Non Ngò</t>
  </si>
  <si>
    <t>BHK</t>
  </si>
  <si>
    <t>Non Mẩn</t>
  </si>
  <si>
    <t>Trần Thị</t>
  </si>
  <si>
    <t>Vìa Vó 
ông Lan</t>
  </si>
  <si>
    <t>TC</t>
  </si>
  <si>
    <t>LUK</t>
  </si>
  <si>
    <t>Đỗ Văn</t>
  </si>
  <si>
    <t>Trần Ngọc</t>
  </si>
  <si>
    <t>Đồng Dung</t>
  </si>
  <si>
    <t>Vinh</t>
  </si>
  <si>
    <t>BCS</t>
  </si>
  <si>
    <t>Tăng Thị</t>
  </si>
  <si>
    <t>Diện tích còn lại của thửa
(m2)</t>
  </si>
  <si>
    <t>Đất NN chưa được cấp GCNQSD đất, sử dụng ổn định trước ngày 01/7/2004, không tranh chấp
(m2)</t>
  </si>
  <si>
    <t>Diện tích ngoài RGQH
(m2)</t>
  </si>
  <si>
    <t>Tờ 
BĐ
số</t>
  </si>
  <si>
    <t>Theo BĐ Địa chính 
phục vụ GPMB</t>
  </si>
  <si>
    <t>Diện tích chênh lệch
 so với GCN</t>
  </si>
  <si>
    <t>Cây</t>
  </si>
  <si>
    <t>Thửa chung;</t>
  </si>
  <si>
    <t>17=11+12+13+14+15+16</t>
  </si>
  <si>
    <t>Lúa</t>
  </si>
  <si>
    <t>Tổng cộng kinh phí bồi thường, hỗ trợ trả cho hộ gia đình theo hộ
(đồng)</t>
  </si>
  <si>
    <t>Đất nông nghiệp không có giấy tờ về QSD đất, sử dụng ổn định trước năm 2004, không tranh chấp
(m2)</t>
  </si>
  <si>
    <t>Đất công ích do UBND phường Tân Tiến quản lý 
(m2)</t>
  </si>
  <si>
    <t>Đất nông nghiệp có trong GCN QSD đất hoặc Sổ địa chính
 (m2)</t>
  </si>
  <si>
    <t>Diện tích, Loại đất thu hồi, bồi thường
(m2)</t>
  </si>
  <si>
    <t>Loại đất thu hồi, BT
(Mã Ký hiệu)</t>
  </si>
  <si>
    <t>21=(11+12+14+ 15) * 20</t>
  </si>
  <si>
    <t>27=24x25x26</t>
  </si>
  <si>
    <t>29=(11+12+14+15)x 15.000đ</t>
  </si>
  <si>
    <t>Theo Giấy CN QSD đất/ 
Sổ Địa chính</t>
  </si>
  <si>
    <t>Bồi thường về đất
(đ)</t>
  </si>
  <si>
    <t>Bồi thường, hỗ trợ tài sản, hoa màu trên đất (đ)</t>
  </si>
  <si>
    <r>
      <t>Hỗ trợ đào tạo, chuyển đổi nghề và tìm kiếm việc làm
(Mức hỗ trợ bằng 5 lần giá đất cùng loại)</t>
    </r>
    <r>
      <rPr>
        <b/>
        <sz val="9"/>
        <color theme="1"/>
        <rFont val="Times New Roman"/>
        <family val="1"/>
      </rPr>
      <t xml:space="preserve"> 400.000đ/m2</t>
    </r>
    <r>
      <rPr>
        <b/>
        <sz val="10"/>
        <color theme="1"/>
        <rFont val="Times New Roman"/>
        <family val="1"/>
      </rPr>
      <t xml:space="preserve">
(đ)</t>
    </r>
  </si>
  <si>
    <t>22</t>
  </si>
  <si>
    <t>Sườn 
Non Ngò</t>
  </si>
  <si>
    <t>31=21+27 +28+29+30</t>
  </si>
  <si>
    <r>
      <t xml:space="preserve">Hỗ trợ ổn định đời sống đối với trường hợp đủ điều kiện bồi thường về đất
</t>
    </r>
    <r>
      <rPr>
        <b/>
        <sz val="8"/>
        <color theme="1"/>
        <rFont val="Times New Roman"/>
        <family val="1"/>
      </rPr>
      <t>(Mức hỗ trợ 15.000đ/m2)</t>
    </r>
  </si>
  <si>
    <t>28=(11+12+14 +15) x20x5 lần</t>
  </si>
  <si>
    <t>Tổng cộng kinh phí bồi thường, hỗ trợ trả cho hộ gia đình theo thửa 
(đồng)</t>
  </si>
  <si>
    <t>Trần Thanh Đường</t>
  </si>
  <si>
    <t>Số lượng</t>
  </si>
  <si>
    <t>HNK</t>
  </si>
  <si>
    <t>DỰ THẢO PHƯƠNG ÁN BỒI THƯỜNG, HỖ TRỢ GPMB (ĐỢT 2)
Khi Nhà nước thu hồi đất để thực hiện dự án: KHU NHÀ Ở XÃ HỘI SỐ 02, TẠI KHU ĐÔ THỊ SỐ 11,12, PHƯỜNG TÂN TIẾN, TỈNH BẮC NINH</t>
  </si>
  <si>
    <t>Ngô Hồng Chiến</t>
  </si>
  <si>
    <t>ĐỊA ĐIỂM: TDP AN PHONG, PHƯỜNG TÂN TIẾN, TỈNH BẮC NINH</t>
  </si>
  <si>
    <t>Họ tên vợ/chồng;
 bố/ mẹ; hoặc người được ủy quyền</t>
  </si>
  <si>
    <t>Diện tích trong ranh giới quy hoạch
(m2)</t>
  </si>
  <si>
    <t>Diện tích dự kiến thu hồi (m2)</t>
  </si>
  <si>
    <t>Ngô Hồng</t>
  </si>
  <si>
    <t>Chiến</t>
  </si>
  <si>
    <t>Đạt</t>
  </si>
  <si>
    <t>Nguyễn Thị Liên</t>
  </si>
  <si>
    <t>ST: Vìa Vó ông Lan: 240m2</t>
  </si>
  <si>
    <t>Thửa chung;
Bình sai DT</t>
  </si>
  <si>
    <t>Diện</t>
  </si>
  <si>
    <t>Trần Thị Sự</t>
  </si>
  <si>
    <t>Du</t>
  </si>
  <si>
    <t>Trần Văn Phấn</t>
  </si>
  <si>
    <t>ô Phấn: Chết</t>
  </si>
  <si>
    <t>ST: Bờ Vó 360m2</t>
  </si>
  <si>
    <t>Duật</t>
  </si>
  <si>
    <t>Nguyễn Thị Dậu</t>
  </si>
  <si>
    <t>Bà Dậu: đã chết</t>
  </si>
  <si>
    <t>ST: Chũng Ngò 360m2</t>
  </si>
  <si>
    <t>BĐ ghi DT: 360,3m2</t>
  </si>
  <si>
    <t>Hải</t>
  </si>
  <si>
    <t>Nguyễn Thị Hiển</t>
  </si>
  <si>
    <t>Chũng Mẩn</t>
  </si>
  <si>
    <t>Hởi</t>
  </si>
  <si>
    <t>Nguyễn Văn Hùng</t>
  </si>
  <si>
    <t>ST: Bờ Vó 168,0m2</t>
  </si>
  <si>
    <t>Ô Hùng: Chết</t>
  </si>
  <si>
    <t>Đồi Bờ Vó</t>
  </si>
  <si>
    <t>ST: Non Mẩn 252m2</t>
  </si>
  <si>
    <t>Sườn 
Non Mẩn</t>
  </si>
  <si>
    <t>Hớn</t>
  </si>
  <si>
    <t xml:space="preserve">Đỗ Thị </t>
  </si>
  <si>
    <t>Hường</t>
  </si>
  <si>
    <t>Tăng Văn Thọ</t>
  </si>
  <si>
    <t>Ông Thọ: Chết</t>
  </si>
  <si>
    <t>Đã thu hồi 3,1m2
 tại QĐ số 258/QĐ-UBND ngày 18/3/2020 - Dự án: Đường Nguyễn Thị Minh Khai kéo dài…</t>
  </si>
  <si>
    <t>ST: 72m</t>
  </si>
  <si>
    <t>Kích</t>
  </si>
  <si>
    <t>Nguyễn Thị Đan</t>
  </si>
  <si>
    <t xml:space="preserve">DSCI của xã ghi có: 432,0m2 </t>
  </si>
  <si>
    <t>Công ích: 432,0m2</t>
  </si>
  <si>
    <t>Lâm</t>
  </si>
  <si>
    <t>ST: Cánh buồm ông Lan: 240m</t>
  </si>
  <si>
    <t>Lập</t>
  </si>
  <si>
    <t>ST:  Non Mẩn 96m</t>
  </si>
  <si>
    <t>Ngôn</t>
  </si>
  <si>
    <t>Lê Thị Mai</t>
  </si>
  <si>
    <t>Nhu</t>
  </si>
  <si>
    <t>Đã thu hồi 18,3m2
 tại QĐ số 258/QĐ-UBND ngày 18/3/2020 - Dự án: Đường Nguyễn Thị Minh Khai kéo dài…</t>
  </si>
  <si>
    <t>Phòng</t>
  </si>
  <si>
    <t>Tăng Thị Thanh</t>
  </si>
  <si>
    <t>ST: dộc BV 864m</t>
  </si>
  <si>
    <t>Ớ</t>
  </si>
  <si>
    <t>Đinh Văn Phúc</t>
  </si>
  <si>
    <t>Quang</t>
  </si>
  <si>
    <t>Đỗ Thị Hằng</t>
  </si>
  <si>
    <t>Dương Thị Phòng</t>
  </si>
  <si>
    <t>DS thầu của xã ghi nhầm vị trí</t>
  </si>
  <si>
    <t>Đã thu hồi 298,4m2
 tại QĐ số 258/QĐ-UBND ngày 18/3/2020 - Dự án: Đường Nguyễn Thị Minh Khai kéo dài…</t>
  </si>
  <si>
    <t>Sử</t>
  </si>
  <si>
    <t>Ngô Thị Huệ</t>
  </si>
  <si>
    <t>bà Huệ: Chết</t>
  </si>
  <si>
    <t>Thái</t>
  </si>
  <si>
    <t>Ngô Thị Lan</t>
  </si>
  <si>
    <t>ST Chũng Mẩn ông Quân: 120m2</t>
  </si>
  <si>
    <t>Đỗ Thị Chiên</t>
  </si>
  <si>
    <t>ST: Sườn Non Mẩn 60m2</t>
  </si>
  <si>
    <t>Thìn</t>
  </si>
  <si>
    <t>Đỗ Thị Độ</t>
  </si>
  <si>
    <t>Đã thu hồi 1,0m2
 tại QĐ số 258/QĐ-UBND ngày 18/3/2020 - Dự án: Đường Nguyễn Thị Minh Khai kéo dài…</t>
  </si>
  <si>
    <t>Thoa</t>
  </si>
  <si>
    <t>Trần Văn Lâm</t>
  </si>
  <si>
    <t>ST: Đồi Bờ Vó 144m</t>
  </si>
  <si>
    <t>ô Lâm: đã chết</t>
  </si>
  <si>
    <t>ST: Sườn Đồng Dung; 216m2</t>
  </si>
  <si>
    <t>ST: Sườn Đồng Dung; 144m2</t>
  </si>
  <si>
    <t>Thu</t>
  </si>
  <si>
    <t>Trần Thị Yên</t>
  </si>
  <si>
    <t>Đào Văn</t>
  </si>
  <si>
    <t>Thuân</t>
  </si>
  <si>
    <t>Tăng Thị Hồng</t>
  </si>
  <si>
    <t>Thuận</t>
  </si>
  <si>
    <t>Đỗ Thị Kỷ</t>
  </si>
  <si>
    <t>ST: Non Mẩn 240m2</t>
  </si>
  <si>
    <t>Tình</t>
  </si>
  <si>
    <t>Đỗ Thị Nha</t>
  </si>
  <si>
    <t>ST: Bờ vó 192m</t>
  </si>
  <si>
    <t>ST:  Dộc Bờ vó 780m+420m = 1,200m</t>
  </si>
  <si>
    <t>ST: Dộc bờ vó 192m</t>
  </si>
  <si>
    <t>ST: Vàn Bờ Vó 120m</t>
  </si>
  <si>
    <t>đg MK lập là ts 219; 
DT thu hồi 28,6m gồm 21,6m NOXH và 7m đã thu hồi đg MK</t>
  </si>
  <si>
    <t>Đã thu hồi 37,6m2
 tại QĐ số 258/QĐ-UBND ngày 18/3/2020 - Dự án: Đường Nguyễn Thị Minh Khai kéo dài…</t>
  </si>
  <si>
    <t>Đỗ Thị Cành</t>
  </si>
  <si>
    <t>ST: 144m2</t>
  </si>
  <si>
    <t>Vững</t>
  </si>
  <si>
    <t>Đào Thị Hương</t>
  </si>
  <si>
    <t xml:space="preserve">ST: Chũng mẩn ông Quân 120m; </t>
  </si>
  <si>
    <t>Ruộng đổi bà Bốn</t>
  </si>
  <si>
    <t>Yên</t>
  </si>
  <si>
    <t>Trần Văn Hùng</t>
  </si>
  <si>
    <t>ông Hùng: Chết</t>
  </si>
  <si>
    <t>ST: Dộc Bờ Vó 792m</t>
  </si>
  <si>
    <t>Đổi cho ông Thước</t>
  </si>
  <si>
    <t>ST: Dộc Chũng Ngò 600m</t>
  </si>
  <si>
    <t>Dự/Nương</t>
  </si>
  <si>
    <t>Đã thu hồi 57,3,0m2
 tại QĐ số 258/QĐ-UBND ngày 18/3/2020 - Dự án: Đường Nguyễn Thị Minh Khai kéo dài…</t>
  </si>
  <si>
    <t>Trần Văn Đạt
(Nguyễn Thị Liên)</t>
  </si>
  <si>
    <t>Cây Bưởi, ĐKG: 3cm ≤ Φ &lt;6cm; MĐTĐ: 400 cây/ha</t>
  </si>
  <si>
    <t>Thửa chung;
(bà Ninh: 240m2)</t>
  </si>
  <si>
    <t>Tăng Thị Ninh
(Trần Thanh Đường)</t>
  </si>
  <si>
    <t>Tăng Văn Diện
(Trần Thị Sự)</t>
  </si>
  <si>
    <t>Chũng
Ngò</t>
  </si>
  <si>
    <t>Nguyễn Thị Du
(Trần Văn Phấn)</t>
  </si>
  <si>
    <t>Trần Văn Duật
(Nguyễn Thị Dậu)</t>
  </si>
  <si>
    <t>Đỗ Văn Hải
(Nguyễn Thị Hiển)</t>
  </si>
  <si>
    <t>Chũng
Mẩn</t>
  </si>
  <si>
    <t>Diện tích còn
 lại của thửa đất là 231,3m2 (nằm ngoài chỉ giới dự án)</t>
  </si>
  <si>
    <t>Trần Thị Hởi 
(Nguyễn Văn Hùng)</t>
  </si>
  <si>
    <t>Đỗ Thị Hớn</t>
  </si>
  <si>
    <t>Diện tích còn
 lại của thửa đất là 161,9m2 (nằm ngoài chỉ giới dự án)</t>
  </si>
  <si>
    <t>Thửa chung;
 Bình sai DT
(bà Hởi: 350,5m2)</t>
  </si>
  <si>
    <t>Thửa chung; 
Bình sai DT
(bà Hớn: 525,8m2);</t>
  </si>
  <si>
    <t>Cây Bưởi, ĐKG: 6cm ≤ Φ &lt;10cm; MĐTĐ: 400 cây/ha (25,0m2/cây)</t>
  </si>
  <si>
    <t>Đỗ Thị Hường
(Tăng Văn Thọ)</t>
  </si>
  <si>
    <t>Trần Văn Kích
(Nguyễn Thị Đan)</t>
  </si>
  <si>
    <t>Trần Văn Lâm
(Nguyễn Thị Liên)</t>
  </si>
  <si>
    <t>Tăng Văn Lập
(Trần Thị Thanh Huyền)</t>
  </si>
  <si>
    <t>có 1 luống sắn</t>
  </si>
  <si>
    <t>Tăng Văn Ngôn
(Lê Thị Mai)</t>
  </si>
  <si>
    <t>Trần Thị Nhu</t>
  </si>
  <si>
    <t>Trần Văn Phòng
(Tăng Thị Thanh)</t>
  </si>
  <si>
    <t>Diện tích còn lại của thửa đất là 20,2m2 (nằm ngoài chỉ giới dự án)</t>
  </si>
  <si>
    <t>Trần Thị Ớ
(Đinh Văn Phúc)</t>
  </si>
  <si>
    <t>Diện tích còn lại của thửa đất là 54,3m2 (nằm ngoài chỉ giới dự án)</t>
  </si>
  <si>
    <t>Diện tích còn lại của thửa đất là 456,7m2 (nằm ngoài chỉ giới dự án)</t>
  </si>
  <si>
    <t>Trần Văn Quang
(Đỗ Thị Hằng)</t>
  </si>
  <si>
    <t>Diện tích còn lại của thửa đất là 468,4m2 (nằm ngoài chỉ giới dự án)</t>
  </si>
  <si>
    <t>Vinh/Cành</t>
  </si>
  <si>
    <t>Trần Ngọc Sơn
(Dương Thị Phòng)</t>
  </si>
  <si>
    <t>Đồi 
Bờ Vó</t>
  </si>
  <si>
    <t>Đồi
Bờ Vó</t>
  </si>
  <si>
    <t>Cây Keo, ĐKG (D1,3) từ trên 5cm-10cm; MĐTĐ: 2.200 cây/ha</t>
  </si>
  <si>
    <t>Đỗ Văn Sử
(Ngô Thị Huệ)</t>
  </si>
  <si>
    <t>Đỗ Văn Thái
(Ngô Thị Lan)</t>
  </si>
  <si>
    <t xml:space="preserve"> </t>
  </si>
  <si>
    <t>Trần Văn Thắng
(Đỗ Thị Chiên)</t>
  </si>
  <si>
    <t>Tăng Văn Thìn
(Đỗ Thị Độ)</t>
  </si>
  <si>
    <t>Chũng 
Ngò</t>
  </si>
  <si>
    <t>Đỗ Thị Thoa
(Trần Văn Lâm)</t>
  </si>
  <si>
    <t>74+75</t>
  </si>
  <si>
    <t>Diện tích còn lại của thửa đất là 138,0m2 (nằm ngoài chỉ giới dự án)</t>
  </si>
  <si>
    <t>Diện tích còn lại của thửa đất là 107,1m2 (nằm ngoài chỉ giới dự án)</t>
  </si>
  <si>
    <t>Tăng Văn Thu
(Trần Thị Yên)</t>
  </si>
  <si>
    <t>Đào Văn Thuân
(Tăng Thị Hồng)</t>
  </si>
  <si>
    <t>Cây Bưởi, ĐKG: 2cm ≤ Φ &lt;6cm; MĐTĐ: 400 cây/ha (25,0m2/cây)</t>
  </si>
  <si>
    <t>Trường hợp cây trồng vượt mật độ quy định &lt;100%: Mức HT theo QĐ số 23/2026/QĐ-UBND là 100% đơn giá BT x 80%</t>
  </si>
  <si>
    <t>Đào Văn Thuận
(Đỗ Thị Kỷ)</t>
  </si>
  <si>
    <t>Đỗ Thị Sỹ
(Trần Văn Tuận)</t>
  </si>
  <si>
    <t>Diện tích còn lại của thửa đất là 19,3m2 (nằm ngoài chỉ giới dự án)</t>
  </si>
  <si>
    <t>Đã thu hồi 241,6m2 tại QĐ số 258/QĐ-UBND ngày 18/3/2020 -DA: đường Nguyễn Thị Minh Khai kéo dài; Diện tích còn lại của thửa đất là 94,9m2 (nằm ngoài chỉ giới dự án)</t>
  </si>
  <si>
    <t>Cây Bưởi, ĐKG: 2cm&lt;Ф≤ 6cm; MĐTĐ: 400 cây/ha (25m2/cây)</t>
  </si>
  <si>
    <t>Trường hợp cây trồng vượt mật độ quy định từ 100% đến &lt;200%: Mức HT theo QĐ số 23/2026/QĐ-UBND là 90% đơn giá BT x 80%</t>
  </si>
  <si>
    <t>Trần Văn Vinh
(Đỗ Thị Cành)</t>
  </si>
  <si>
    <t>Diện tích còn lại của thửa đất là 2,9m2 (nằm ngoài chỉ giới dự án)</t>
  </si>
  <si>
    <t>Theo BB CC KĐBB là Lúa</t>
  </si>
  <si>
    <t>Đỗ Văn Vững
(Đào Thị Hương)</t>
  </si>
  <si>
    <t>Chũng Mẩn
ông Quân</t>
  </si>
  <si>
    <t>Nguyễn Thị Yên
(Trần Văn Hùng)</t>
  </si>
  <si>
    <t>Cây Sưa, ĐK thân (D1,3) &lt;5cm; chiều cao ≥ 1m-2m; MĐTĐ: 5,0m2/cây</t>
  </si>
  <si>
    <t>Cây bạch đàn (phát triển trên gốc cũ); ĐKG (D1,3) &lt; 5cm; chiều cao 2m-3m; MĐTĐ: 2000 cây/ha</t>
  </si>
  <si>
    <t>cây trồng lại</t>
  </si>
  <si>
    <t>cỏ</t>
  </si>
  <si>
    <t>Trường hợp cây trồng vượt mật độ quy định &gt;100%: Mức HT theo QĐ số 23/2026/QĐ-UBND là 30% đơn giá BT (đơn giá: 34.00đ/cây) x 80%</t>
  </si>
  <si>
    <t>Thửa chung; 
Bình sai DT bù từ trên xuống cho đủ sổ</t>
  </si>
  <si>
    <t>Trường hợp cây trồng vượt mật độ quy định từ 200% -&lt;300% : Mức HT theo QĐ số 23/2026/QĐ-UBND là 80% đơn giá BT (305.00đ/cây) x 80%</t>
  </si>
  <si>
    <t>Trường hợp cây trồng vượt mật độ quy định từ 100%-&lt;200%: Mức hỗ trợ theo QĐ số 23/2026/QĐ-UBND là 90% đơn giá BT (305.00đ/cây) x 80%</t>
  </si>
  <si>
    <t>(*) Tại thời điểm cưỡng chế KĐBB: hộ gđ đang trồng Bí đỏ xen lẫn đào tán; Cây trồng sau khi có Thông báo thu hồi đất, không đủ điều kiện BT, hỗ trợ</t>
  </si>
  <si>
    <t>Cây đào tán,
chiều cao từ 50cm&lt;h&lt;150cm; MĐTĐ: 10.000 cây/ha
trồng xen lẫn cây bí đỏ (bí ngô) (*)</t>
  </si>
  <si>
    <t>tối đa 3 cây trên 1 gốc = 7 luống x 70 gốc * 3</t>
  </si>
  <si>
    <t>tối đa 3 cây trên 1 gốc = 6 luống x 50 gốc * 3</t>
  </si>
  <si>
    <t>200 gốc còn sống x 3</t>
  </si>
  <si>
    <t>Diện tích còn lại của thửa đất là 218,1m2 (nằm ngoài chỉ giới dự án)</t>
  </si>
  <si>
    <t>Diện tích còn lại của thửa đất là 201,8m2 (nằm ngoài chỉ giới dự án)</t>
  </si>
  <si>
    <t>Tăng Văn Tình
(Đỗ Thị Nha)</t>
  </si>
  <si>
    <t>Diện tích còn lại của thửa đất là 118,7m2 (nằm ngoài chỉ giới dự án)</t>
  </si>
  <si>
    <t>Theo Giấy CNQSD đất/
Sổ địa chính</t>
  </si>
  <si>
    <t>Mã ký hiệu</t>
  </si>
  <si>
    <t>Thửa chung;
(ông Đạt)</t>
  </si>
  <si>
    <t>Trần Thị 
Thanh Huyền</t>
  </si>
  <si>
    <t>Đã thu hồi 57,3m2
 tại QĐ số 258/QĐ-UBND ngày 18/3/2020 - Dự án: Đường Nguyễn Thị Minh Khai …</t>
  </si>
  <si>
    <t>Thửa chung;
(bà Ninh: 240,0m2)</t>
  </si>
  <si>
    <t>(ST: Non Ngò 48,0m2)</t>
  </si>
  <si>
    <t>Thửa chung;
BC giải trình</t>
  </si>
  <si>
    <t>Đã thu hồi 3,1m2
 tại QĐ số 258/QĐ-UBND ngày 18/3/2020 - Dự án: Đường Nguyễn Thị Minh Khai…</t>
  </si>
  <si>
    <t>ST: (ô Thi con ông Ngôn) Bờ Vó 216m</t>
  </si>
  <si>
    <t>ST: Bờ Vó 216m</t>
  </si>
  <si>
    <t>Đã thu hồi 18,3m2
 tại QĐ số 258/QĐ-UBND ngày 18/3/2020 - Dự án: Đường Nguyễn Thị Minh Khai …</t>
  </si>
  <si>
    <t>ST: Đồi BV 144m</t>
  </si>
  <si>
    <t>ST: dộc BV 432m</t>
  </si>
  <si>
    <t xml:space="preserve">ST: Bờ Vó 684m; </t>
  </si>
  <si>
    <t>DSCI của xã ghi nhầm thầu 358,6m2; ST thầu Bờ Vó 360m</t>
  </si>
  <si>
    <t>Đã thu hồi 298,4m2
 tại QĐ số 258/QĐ-UBND ngày 18/3/2020 - Dự án: Đường Nguyễn Thị Minh Khai …</t>
  </si>
  <si>
    <t>Diện tích còn lại: 311,3m2 là đất công ích do UBND phường quản lý</t>
  </si>
  <si>
    <t>ST: Non Mẩn 120m2</t>
  </si>
  <si>
    <t>Đã thu hồi 1,0m2
 tại QĐ số 258/QĐ-UBND ngày 18/3/2020 - Dự án: Đường Nguyễn Thị Minh Khai…</t>
  </si>
  <si>
    <t>Đồng
Dung</t>
  </si>
  <si>
    <t>ST: Non Mẩn 288m2</t>
  </si>
  <si>
    <t>Sỹ</t>
  </si>
  <si>
    <t>Trần Văn Tuận</t>
  </si>
  <si>
    <t>Đã thu hồi 241,6m2
 tại QĐ số 258/QĐ-UBND ngày 18/3/2020 - Dự án: Đường Nguyễn Thị Minh Khai …</t>
  </si>
  <si>
    <t>Đã thu hồi 37,6m2
 tại QĐ số 258/QĐ-UBND ngày 18/3/2020 - Dự án: Đường Nguyễn Thị Minh Khai …</t>
  </si>
  <si>
    <r>
      <rPr>
        <b/>
        <sz val="10"/>
        <color theme="1"/>
        <rFont val="Times New Roman"/>
        <family val="1"/>
      </rPr>
      <t>Hỗ trợ khác</t>
    </r>
    <r>
      <rPr>
        <b/>
        <sz val="9"/>
        <color theme="1"/>
        <rFont val="Times New Roman"/>
        <family val="1"/>
      </rPr>
      <t xml:space="preserve">
</t>
    </r>
    <r>
      <rPr>
        <sz val="8"/>
        <color theme="1"/>
        <rFont val="Times New Roman"/>
        <family val="1"/>
      </rPr>
      <t>(cho hộ gia đình, cá nhân đang sử dụng đất NN thuộc quỹ đất NN sử dụng vào mục đích công ích, không đủ điều kiện được BT chi phí đầu tư vào đất còn lại)</t>
    </r>
    <r>
      <rPr>
        <b/>
        <sz val="8"/>
        <color theme="1"/>
        <rFont val="Times New Roman"/>
        <family val="1"/>
      </rPr>
      <t xml:space="preserve">
Mức HT = 100%</t>
    </r>
  </si>
  <si>
    <t>Diện tích: 311,3m2 là đất công ích do UBND phường quản lý; Mức Hỗ trợ theo QĐ số 30/2026/QĐ-UBND ngày 08/5/2026</t>
  </si>
  <si>
    <t xml:space="preserve">Cây Sưa, ĐK thân (D1,3) từ &gt;10cm - 13cm; MĐBQ: 5,0m2/cây </t>
  </si>
  <si>
    <t>Sổ thôn: Non Ngò 48m2</t>
  </si>
  <si>
    <t>Sổ thôn:
 Chũng Ngò 360m2</t>
  </si>
  <si>
    <t>ST: Non Mẩn 96m2; 
Diện tích còn
 lại của thửa đất là 29,3m2 (nằm ngoài chỉ giới dự án)</t>
  </si>
  <si>
    <t>Trường hợp cây trồng vượt mật độ quy định &gt;100%: Mức HT theo QĐ số 23/2026/QĐ-UBND là 30% đơn giá BT (đơn giá: 118.00đ/cây) x 80%</t>
  </si>
  <si>
    <t>Sổ thôn: Cánh Buồm ông Lan 240,0m2</t>
  </si>
  <si>
    <t>Cây sắn (4 khóm): 
DT chiếm đất: 20m2</t>
  </si>
  <si>
    <t>Cây bí đỏ (bí ngô) chiếm 3/4 diện tích ruộng
(Cây đào tán trồng xen lẫn cây bí đỏ)</t>
  </si>
  <si>
    <t>Cây Mít, ĐKG: 5cm&lt;Ф≤ 10cm; MĐTĐ: 400 cây/ha (25m2/cây); trồng trước ngày 01/8/2024</t>
  </si>
  <si>
    <t>30=(13+16)x 20 x 100%</t>
  </si>
  <si>
    <t>(Kèm theo Thông báo số:           /TB-UBND ngày       tháng  5 năm 2026 của UBND phường Tân Tiến)</t>
  </si>
  <si>
    <t>DT còn lại của thửa đất là 40,0m2 (nằm ngoài chỉ giới DA)</t>
  </si>
  <si>
    <t>Cây đào tán, chiều cao từ 60-70cm;
(07 luống x 25 cây)
MĐTĐ:10.000 cây/ha</t>
  </si>
  <si>
    <t>Cây đào tán, chiều cao từ 60-70cm;
(05 luống x 08 cây)
MĐTĐ:10.000 cây/ha</t>
  </si>
  <si>
    <t>Tại thời điểm cưỡng 
chế KĐBB: trên đất đang trồng cây Bí đỏ xen lẫn cây đào tán; (Trong đó: Bí đỏ trồng chiếm 3/4 DT ruộng, trồng trước TB thu hồi đất + Đào tán trồng trên DT cả ruộng, Cây đào trồng sau khi có Thông báo thu hồi đất, không đủ điều kiện BT, hỗ trợ</t>
  </si>
  <si>
    <t>Cây Đào tán trồng sau khi có Thông báo thu hồi đất, không đủ điều kiện BT, hỗ trợ
(ST: Non Mẩn 60m2)</t>
  </si>
  <si>
    <t>Cây Bạch đàn, ĐKG (D1,3) từ 15m-20cm; MĐTĐ: 2.000 cây/ha</t>
  </si>
  <si>
    <t>Cây Bạch đàn, ĐKG (D1,3) từ trên 10cm-13cm; MĐTĐ: 2.000 cây/ha</t>
  </si>
  <si>
    <t>Cây Bạch đàn, ĐKG (D1,3) từ 5cm-10cm; MĐTĐ: 2.000 cây/ha</t>
  </si>
  <si>
    <t>Cây Bạch đàn, ĐKG (D1,3) &lt;5cm, cao &gt; 3,0m; MĐTĐ: 2.000 cây/ha</t>
  </si>
  <si>
    <t>Cây Bạch đàn, ĐKG (D1,3) 8-10cm; MĐTĐ: 2.000 cây/ha</t>
  </si>
  <si>
    <t>Cây Bạch đàn; ĐKG (D1,3) &lt;5cm, cao &gt; 3,0m; MĐTĐ: 2.000 cây/ha</t>
  </si>
  <si>
    <t>ST: Bờ Vó 192m2</t>
  </si>
  <si>
    <t>ST: Chũng Mẩn ông Quân 120m2</t>
  </si>
  <si>
    <t>Số 
TT</t>
  </si>
  <si>
    <t>Loại hoa màu, tài sản trên đất</t>
  </si>
  <si>
    <t>Mức BT, HT
(%)</t>
  </si>
  <si>
    <t>Cây Lúa</t>
  </si>
  <si>
    <t>BẢNG DỰ TOÁN CHI PHÍ  TỔ CHỨC THỰC HIỆN
Dự án: Khu nhà ở xã hội số 02 tại Khu đô thị số 11, 12, phường Tân Tiến, tỉnh Bắc Ninh</t>
  </si>
  <si>
    <t xml:space="preserve">Đơn vị tính: Nghìn đồng </t>
  </si>
  <si>
    <t>TT</t>
  </si>
  <si>
    <t>Nội dung công việc theo Điều 27, Nghị định 88/NĐ-CP ngày 15/7/2024 và Nghị quyết 28/2025/NQ-HĐND ngày 03/4/2025</t>
  </si>
  <si>
    <t xml:space="preserve">Mức chi </t>
  </si>
  <si>
    <t>Số ngày</t>
  </si>
  <si>
    <t xml:space="preserve">Thành tiền </t>
  </si>
  <si>
    <t>Dự Toán chi (A+B):</t>
  </si>
  <si>
    <t>A</t>
  </si>
  <si>
    <t>Nội dung chi tổ chức thực hiện bồi thường, hỗ trợ, tái định cư (I+II+…+IX)</t>
  </si>
  <si>
    <t>I</t>
  </si>
  <si>
    <t>Chi tổ chức họp với người có đất, chủ sở hữu tài sản trong khu vực thu hồi để phổ biến, tuyên truyền các chính sách, pháp luật về bồi thường, hỗ trợ, tái định cư khi Nhà nước thu hồi đất và tiếp nhận ý kiến, tổ chức vận động người có đất thu hồi, chủ sở hữu tài sản liên quan thực hiện quyết định thu hồi đất thực hiện dự án</t>
  </si>
  <si>
    <t xml:space="preserve">Tuyên truyền triển khai phổ biến chính sách về GPMB </t>
  </si>
  <si>
    <t>đ/người/ngày</t>
  </si>
  <si>
    <t>Chi phí hội nghị xin ý kiến nguồn gốc đất; giải quyết thắc mắc của tổ chức, hộ dân, cá nhân.</t>
  </si>
  <si>
    <t>Thuê hội trường</t>
  </si>
  <si>
    <t>Đồng/ngày</t>
  </si>
  <si>
    <t>Chi phí khác (nước uống,……)</t>
  </si>
  <si>
    <t>Đồng/ngày
/người</t>
  </si>
  <si>
    <t>II</t>
  </si>
  <si>
    <t>Chi điều tra, khảo sát, đo đạc, kiểm đếm theo quy định tại Luật Đất đai năm 2024 gồm: Phát tờ khai, hướng dẫn người bị thiệt hại kê khai; trích đo địa chính thửa đất đối với thửa đất tại nơi chưa có bản đồ địa chính phục vụ bồi thường, giải phóng mặt bằng; đo đạc xác định diện tích thực tế các thửa đất nằm trong ranh giới khu đất thu hồi để thực hiện dự án (nếu có) của từng tổ chức, hộ gia đình, cá nhân làm căn cứ thực hiện việc bồi thường, hỗ trợ, tái định cư khi Nhà nước thu hồi đất trong trường hợp phải đo đạc lại; kiểm kê số lượng nhà, công trình, cây trồng, vật nuôi và tài sản khác bị thiệt hại khi Nhà nước thu hồi đất của từng tổ chức, hộ gia đình, cá nhân; kiểm tra, đối chiếu giữa tờ khai với kết quả kiểm kê, xác định mức độ thiệt hại với từng đối tượng bị thu hồi đất cụ thể; tính toán giá trị thiệt hại về đất đai, nhà, công trình, cây trồng, vật nuôi và tài sản khác, chi phí đăng báo và phát sóng trên đài phát thanh hoặc truyền hình;</t>
  </si>
  <si>
    <t>Phát tờ khai, hướng dẫn công tác kê khai</t>
  </si>
  <si>
    <t>Xác định diện tích đất, kiểm kê số lượng tài sản gắn liền với đất bị thiệt hại khi nhà nước thu hồi đất của từng tổ chức, hộ gia đình, cá nhân</t>
  </si>
  <si>
    <t>Tính toán giá trị thiệt hại về đất và tài sản trên đất</t>
  </si>
  <si>
    <t>III</t>
  </si>
  <si>
    <t>Chi lập, thẩm định, chấp thuận, phê duyệt, công khai phương án bồi thường, hỗ trợ, tái định cư từ khâu tính toán các chỉ tiêu, xác định mức bồi thường, hỗ trợ đến khâu phê duyệt phương án, thông báo công khai phương án bồi thường, hỗ trợ, tái định cư</t>
  </si>
  <si>
    <t>Chi công khai phương án bồi thường, hỗ trợ, tái định cư…</t>
  </si>
  <si>
    <t>Chi thẩm định phương án bồi thường, hỗ trợ, tái định cư</t>
  </si>
  <si>
    <t>IV</t>
  </si>
  <si>
    <t>Chi tổ chức chi trả tiền bồi thường, hỗ trợ, tái định cư theo phương án bồi thường, hỗ trợ, tái định cư đã được cơ quan nhà nước có thẩm quyền phê duyệt theo quy định.</t>
  </si>
  <si>
    <t>V</t>
  </si>
  <si>
    <t>Chi phục vụ việc hướng dẫn thực hiện, giải quyết những vướng mắc trong tổ chức thực hiện phương án bồi thường, hỗ trợ, tái định cư đã được cơ quan nhà nước có thẩm quyền phê duyệt theo quy định.</t>
  </si>
  <si>
    <t>VI</t>
  </si>
  <si>
    <t>Chi thuê nhà làm việc, thuê và mua sắm máy móc, thiết bị để thực hiện công tác bồi thường, hỗ trợ, tái định cư của Tổ chức làm nhiệm vụ bồi thường và cơ quan thẩm định.</t>
  </si>
  <si>
    <t>VII</t>
  </si>
  <si>
    <t>Chi in ấn, phô tô tài liệu, văn phòng phẩm, thông tin liên lạc (bưu chính, điện thoại) xăng xe</t>
  </si>
  <si>
    <t>Chi in ấn, phô tô tài liệu, văn phòng phẩm</t>
  </si>
  <si>
    <t>Thông tin liên lạc</t>
  </si>
  <si>
    <t>đ/người/tháng</t>
  </si>
  <si>
    <t>Xăng xe</t>
  </si>
  <si>
    <t>VIII</t>
  </si>
  <si>
    <t>Chi thuê nhân công thực hiện công tác bồi thường, hỗ trợ, tái định cư</t>
  </si>
  <si>
    <t>IX</t>
  </si>
  <si>
    <t>Các nội dung chi khác có liên quan trực tiếp đến việc tổ chức thực hiện bồi thường, hỗ trợ, tái định cư</t>
  </si>
  <si>
    <t>Thuê mướn ô tô trả tiền BT GPMB</t>
  </si>
  <si>
    <t>đ/chuyến/ngày</t>
  </si>
  <si>
    <t>Chi phí khác</t>
  </si>
  <si>
    <t>B</t>
  </si>
  <si>
    <t>Chi tiền lương, các khoản đóng góp theo tiền lương và các khoản phụ cấp lương…</t>
  </si>
  <si>
    <t xml:space="preserve">Chi lương, phụ cấp cán bộ thực hiện công tác BT GPMB </t>
  </si>
  <si>
    <t>Ngày</t>
  </si>
  <si>
    <t>Chi  BHXH,YT,TN,CĐ..</t>
  </si>
  <si>
    <t xml:space="preserve">Chi làm thêm giờ </t>
  </si>
  <si>
    <t>Giờ</t>
  </si>
  <si>
    <t>Nội dung</t>
  </si>
  <si>
    <r>
      <t>Diện tích
thu hồi
(m</t>
    </r>
    <r>
      <rPr>
        <b/>
        <vertAlign val="superscript"/>
        <sz val="12"/>
        <color theme="1"/>
        <rFont val="Times New Roman"/>
        <family val="1"/>
      </rPr>
      <t>2</t>
    </r>
    <r>
      <rPr>
        <b/>
        <sz val="12"/>
        <color theme="1"/>
        <rFont val="Times New Roman"/>
        <family val="1"/>
      </rPr>
      <t>)</t>
    </r>
  </si>
  <si>
    <t>Kinh phí bồi thường</t>
  </si>
  <si>
    <t>Kinh phí hỗ trợ</t>
  </si>
  <si>
    <t>Tổng kinh phí bồi thường, hỗ trợ GPMB (đ)</t>
  </si>
  <si>
    <t>Bồi thường đất
(80.000đ/m2)</t>
  </si>
  <si>
    <t>Hỗ trợ ổn định đời sống khi Nhà nước thu hồi đất cho hộ gia đình, cá nhân đang sử dụng đất NN đủ điều kiện được BT về đất thì được HT=15.000đ/m²</t>
  </si>
  <si>
    <t>Hỗ trợ đào tạo, chuyển đổi nghề và tìm kiếm việc làm (5 lần giá đất nông nghiệp = 5*80.000đ/m2)</t>
  </si>
  <si>
    <t>9 = 4+5+6+7+8</t>
  </si>
  <si>
    <t>Kinh phí bồi thường, 
hỗ trợ GPMB</t>
  </si>
  <si>
    <t>1.1</t>
  </si>
  <si>
    <t>1.2</t>
  </si>
  <si>
    <t>Tổng (1+2)</t>
  </si>
  <si>
    <t>TM. HỘI ĐỒNG BỒI THƯỜNG, HỖ TRỢ VÀ GPMB</t>
  </si>
  <si>
    <t>ĐẠI DIỆN TỔ DÂN PHỐ AN PHONG</t>
  </si>
  <si>
    <t>ĐƠN VỊ TƯ VẤN GPMB</t>
  </si>
  <si>
    <t>KT. CHỦ TỊCH HỘI ĐỒNG</t>
  </si>
  <si>
    <t>TỔ TRƯỞNG</t>
  </si>
  <si>
    <t>GIÁM ĐỐC</t>
  </si>
  <si>
    <t>PHÓ CHỦ TỊCH HỘI ĐỒNG</t>
  </si>
  <si>
    <t>TỔNG GIÁM ĐỐC CÔNG TY CỔ PHẦN
 QUẢN LÝ ĐẦU TƯ ACD</t>
  </si>
  <si>
    <t>Trần Tiến Quảng</t>
  </si>
  <si>
    <t>Lê Thị Ánh Hường</t>
  </si>
  <si>
    <t>Đỗ Hải Minh</t>
  </si>
  <si>
    <t>Hỗ trợ khác cho hộ gia đình, cá nhân đang sử dụng đất NN thuộc quỹ đất NN sử dụng vào mục đích công ích không đủ điều kiện được bồi thường chi phí đầu tư vào đất còn lại thì được HT=100% giá đất BT</t>
  </si>
  <si>
    <t>Bồi thường, hỗ trợ tài sản hoa màu trên đất</t>
  </si>
  <si>
    <t>BẢNG TỔNG HỢP KINH PHÍ BỒI THƯỜNG, HỖ TRỢ GPMB (ĐỢT 2) 
ĐỂ THỰC HIỆN DỰ ÁN: KHU NHÀ Ở XÃ HỘI SỐ 02 TẠI KHU ĐÔ THỊ SỐ 11,12, PHƯỜNG TÂN TIẾN, TỈNH BẮC NINH</t>
  </si>
  <si>
    <t>Tuyên truyền vận động hộ dân hợp tác kê khai, kiểm kê (trường hợp hộ dân không hợp tác kê khai, kiểm đếm)</t>
  </si>
  <si>
    <t>Họp đối thoại với người có đất (trường hợp thực hiện cưỡng chế kiểm đếm bắt buộc)</t>
  </si>
  <si>
    <t>Thực hiện Kiểm đếm bắt buộc, Cưỡng chế kiểm đếm bắt buộc về đất và tài sản trên đất đối với trường hợp không hợp tác kê khai, kiểm kê</t>
  </si>
  <si>
    <t>Chi lập phương án bồi thường, hỗ trợ, tái định cư…</t>
  </si>
  <si>
    <t>Kiểm tra đối chiếu giữa tờ khai với kết quả kiểm kê; xác định mức độ thiệt hại với từng đối tượng bị thu hồi đất cụ thể;</t>
  </si>
  <si>
    <t xml:space="preserve">Cây Lúa </t>
  </si>
  <si>
    <t>Trường hợp cây trồng 
đúng mật độ tối đa quy định &gt;100%</t>
  </si>
  <si>
    <t>Cây Bưởi, ĐKG: 2cm ≤ Φ &lt;6cm; MĐTĐ: 400 cây/ha</t>
  </si>
  <si>
    <t>Cây bí đỏ (bí ngô)</t>
  </si>
  <si>
    <t>BẢNG TỔNG HỢP KINH PHÍ BỒI THƯỜNG, HỖ TRỢ TÀI SẢN TRÊN ĐẤT
(Kèm theo Phương án Bồi thường, hỗ trợ GPMB đợt 2)</t>
  </si>
  <si>
    <t>Đất nông nghiệp ( LUC, LUK, HNK)</t>
  </si>
  <si>
    <t>Đất công ích do UBND phường quản lý (LUC)</t>
  </si>
  <si>
    <t>HĐ hết thời hạn; 
Mức Hỗ trợ theo QĐ số 30/2026/QĐ-UBND ngày 08/5/2026</t>
  </si>
  <si>
    <t>DANH SÁCH THU HỒI ĐẤT (ĐỢT 2)</t>
  </si>
  <si>
    <t>ĐỂ THỰC HIỆN DỰ ÁN: KHU NHÀ Ở XÃ HỘI SỐ 02 TẠI KHU ĐÔ THỊ THỊ SỐ 11,12, PHƯỜNG TÂN TIẾN, TỈNH BẮC NINH</t>
  </si>
  <si>
    <t>Đã thu hồi 241,6m2 tại QĐ số 258/QĐ-UBND ngày 18/3/2020 -DA: đường Nguyễn Thị Minh Khai kéo dài; (Có Đơn đề nghị thu hồi hết diện tích nằm ngoài chỉ giới dự án)</t>
  </si>
  <si>
    <t>Có Đơn đề nghị thu hồi hết diện tích nằm ngoài chỉ giới dự án</t>
  </si>
  <si>
    <t xml:space="preserve">ST: Non Mẩn 96m2;
Có Đơn đề nghị thu hồi hết diện tích nằm ngoài chỉ giới dự án </t>
  </si>
  <si>
    <t>Trường hợp Cây trồng trên đất công ích đã hết hạn HĐ thầu/ Không có HĐ thầu</t>
  </si>
  <si>
    <t>Cây Mít, ĐKG: 5cm&lt;Ф≤ 10cm; MĐTĐ: 400 cây/ha (25m2/cây);</t>
  </si>
  <si>
    <t>Chi họp lấy ý kiến và giải đáp ý kiến vướng mắc sau thời gian niêm yết công khai phương án bồi thường, hỗ trợ GPMB</t>
  </si>
  <si>
    <t>Dự toán kinh phí tổ chức thực hiện công tác BT GPMB (2%)</t>
  </si>
  <si>
    <r>
      <rPr>
        <b/>
        <sz val="14"/>
        <color theme="1"/>
        <rFont val="Times New Roman"/>
        <family val="1"/>
      </rPr>
      <t xml:space="preserve">Bằng chữ: </t>
    </r>
    <r>
      <rPr>
        <i/>
        <sz val="14"/>
        <color theme="1"/>
        <rFont val="Times New Roman"/>
        <family val="1"/>
      </rPr>
      <t>(Mười bẩy tỷ, một trăm sáu mươi lăm triệu, chín trăm bốn mươi hai nghìn, một trăm đồng)</t>
    </r>
  </si>
  <si>
    <t>ST: Non Mẩn 96,0m2;
(Có Đơn đề nghị thu hồi cả thửa)</t>
  </si>
  <si>
    <t>Thửa chung; 
Bình sai DT bù đủ sổ</t>
  </si>
  <si>
    <t>PHƯƠNG ÁN BỒI THƯỜNG, HỖ TRỢ GPMB (ĐỢT 02)
Khi Nhà nước thu hồi đất để thực hiện dự án: KHU NHÀ Ở XÃ HỘI SỐ 02, TẠI KHU ĐÔ THỊ SỐ 11,12, PHƯỜNG TÂN TIẾN, TỈNH BẮC NINH</t>
  </si>
  <si>
    <t>(Kèm theo Tờ trình số:           /TTr-HĐBT ngày       tháng  5 năm 2026 của Hội đồng bồi thường hỗ trợ GPMB dự án)</t>
  </si>
  <si>
    <t>Cây đào tán,
chiều cao từ 50cm&lt;h&lt;150cm; MĐTĐ: 10.000 cây/ha</t>
  </si>
  <si>
    <t>Cây Đào tán trồng sau khi có Thông báo thu hồi đất, không đủ điều kiện bồi thường, hỗ trợ</t>
  </si>
  <si>
    <t>Tờ 
BĐ</t>
  </si>
  <si>
    <t>Tờ
BĐ</t>
  </si>
  <si>
    <t>Loại
đất</t>
  </si>
  <si>
    <r>
      <t xml:space="preserve">Tỷ lệ hỗ trợ theo đơn giá 
</t>
    </r>
    <r>
      <rPr>
        <sz val="8"/>
        <color theme="1"/>
        <rFont val="Times New Roman"/>
        <family val="1"/>
      </rPr>
      <t>(quy định tại QĐ 23/2026/QĐ-UBND)</t>
    </r>
  </si>
  <si>
    <t>Trường hợp cây trồng vượt mật độ quy định từ 100%-&lt;200%: Mức hỗ trợ theo QĐ số 23/2026/QĐ-UBND là 90% đơn giá BTx 80%</t>
  </si>
  <si>
    <t>Trường hợp cây trồng vượt mật độ quy định từ 200% -&lt;300% : Mức HT theo QĐ số 23/2026/QĐ-UBND là 80% đơn giá BT x 80%</t>
  </si>
  <si>
    <t>Trường hợp cây trồng vượt mật độ quy định &gt;100%: Mức HT theo QĐ số 23/2026/QĐ-UBND là 30% đơn giá BT x 80%</t>
  </si>
  <si>
    <t>Đã thu hồi 241,6m2 tại QĐ số 258/QĐ-UBND ngày 18/3/2020 -DA: đường Nguyễn Thị Minh Khai kéo dài; (Có Đơn đề nghị thu hồi hết thửa)</t>
  </si>
  <si>
    <t>Trường hợp cây trồng vượt mật độ quy định từ 100%-&lt;200%: Mức hỗ trợ theo QĐ số 23/2026/QĐ-UBND là 90% đơn giá BT x 80%</t>
  </si>
  <si>
    <t>Tại thời điểm cưỡng chế KĐBB: trên đất đang trồng cây Bí đỏ xen lẫn cây đào tán; (Trong đó: Bí đỏ trồng chiếm 3/4 DT ruộng, trồng trước TB thu hồi đất + Đào tán trồng trên DT cả ruộng, Cây đào trồng sau khi có TB thu hồi đất, không đủ điều kiện BT, hỗ trợ</t>
  </si>
  <si>
    <t>28=24x
(25x26)x27</t>
  </si>
  <si>
    <t>29=(11+12+14 +15) x20x5 lần</t>
  </si>
  <si>
    <t>31=(13+16)x 20 x 100%</t>
  </si>
  <si>
    <t>32=21+28+
29+30+31</t>
  </si>
  <si>
    <t>21=(11+12+14+ 15) x 20</t>
  </si>
  <si>
    <t>30=(11+12+14
+15)x15.000đ</t>
  </si>
  <si>
    <t>Tân Tiến, ngày  27 tháng 5 năm 2026</t>
  </si>
  <si>
    <t>Tân Tiến, ngày 27 tháng 5 năm 2026</t>
  </si>
  <si>
    <t>Đơn giá bồi thường</t>
  </si>
  <si>
    <t>(Kèm theo Quyết định số:        /QĐ-UBND ngày     tháng      năm 2026 của Chủ tịch UBND phường Tân Tiến)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</si>
</sst>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0.0"/>
    <numFmt numFmtId="165" formatCode="_(* #,##0.0_);_(* \(#,##0.0\);_(* &quot;-&quot;??_);_(@_)"/>
    <numFmt numFmtId="166" formatCode="_(* #,##0_);_(* \(#,##0\);_(* &quot;-&quot;??_);_(@_)"/>
    <numFmt numFmtId="167" formatCode="_(* #,##0.0_);_(* \(#,##0.0\);_(* &quot;-&quot;?_);_(@_)"/>
    <numFmt numFmtId="168" formatCode="_-* #.##0.00\ _ _-;\-* #.##0.00\ _ _-;_-* &quot;-&quot;??\ _ _-;_-@_-"/>
    <numFmt numFmtId="169" formatCode="#,##0.0"/>
    <numFmt numFmtId="170" formatCode="_-* #,##0_-;\-* #,##0_-;_-* &quot;-&quot;??_-;_-@_-"/>
  </numFmts>
  <fonts count="115" x14ac:knownFonts="1">
    <font>
      <sz val="12"/>
      <color theme="1"/>
      <name val="Times New Roman"/>
      <family val="2"/>
    </font>
    <font>
      <sz val="12"/>
      <color theme="1"/>
      <name val="Times New Roman"/>
      <family val="2"/>
    </font>
    <font>
      <b/>
      <sz val="12"/>
      <color theme="1"/>
      <name val="Times New Roman"/>
      <family val="1"/>
    </font>
    <font>
      <b/>
      <sz val="12"/>
      <name val="Times New Roman"/>
      <family val="1"/>
    </font>
    <font>
      <b/>
      <sz val="10"/>
      <name val="Times New Roman"/>
      <family val="1"/>
    </font>
    <font>
      <sz val="12"/>
      <color indexed="8"/>
      <name val="Times New Roman"/>
      <family val="2"/>
    </font>
    <font>
      <sz val="12"/>
      <name val="Times New Roman"/>
      <family val="1"/>
    </font>
    <font>
      <sz val="11"/>
      <name val="Times New Roman"/>
      <family val="1"/>
    </font>
    <font>
      <sz val="10"/>
      <name val="Times New Roman"/>
      <family val="1"/>
    </font>
    <font>
      <sz val="9"/>
      <name val="Times New Roman"/>
      <family val="1"/>
    </font>
    <font>
      <b/>
      <sz val="9"/>
      <color theme="1"/>
      <name val="Times New Roman"/>
      <family val="1"/>
    </font>
    <font>
      <sz val="9"/>
      <color theme="1"/>
      <name val="Times New Roman"/>
      <family val="1"/>
    </font>
    <font>
      <sz val="8"/>
      <color theme="1"/>
      <name val="Times New Roman"/>
      <family val="1"/>
    </font>
    <font>
      <sz val="11"/>
      <color theme="1"/>
      <name val="Times New Roman"/>
      <family val="1"/>
    </font>
    <font>
      <sz val="12"/>
      <name val=".VnTime"/>
      <family val="2"/>
    </font>
    <font>
      <b/>
      <sz val="8"/>
      <color theme="1"/>
      <name val="Times New Roman"/>
      <family val="1"/>
    </font>
    <font>
      <sz val="9"/>
      <name val=".VnTime"/>
      <family val="2"/>
    </font>
    <font>
      <sz val="7"/>
      <color theme="1"/>
      <name val="Times New Roman"/>
      <family val="1"/>
    </font>
    <font>
      <b/>
      <sz val="7"/>
      <color theme="1"/>
      <name val="Times New Roman"/>
      <family val="1"/>
    </font>
    <font>
      <b/>
      <sz val="7"/>
      <name val="Times New Roman"/>
      <family val="1"/>
    </font>
    <font>
      <b/>
      <sz val="7"/>
      <name val=".VnTime"/>
      <family val="2"/>
    </font>
    <font>
      <sz val="10"/>
      <name val="Arial"/>
      <family val="2"/>
    </font>
    <font>
      <b/>
      <sz val="10"/>
      <color theme="1"/>
      <name val=".VnArial Narrow"/>
      <family val="2"/>
    </font>
    <font>
      <sz val="8"/>
      <name val="Times New Roman"/>
      <family val="1"/>
    </font>
    <font>
      <sz val="8"/>
      <name val=".VnTime"/>
      <family val="2"/>
    </font>
    <font>
      <b/>
      <sz val="8"/>
      <name val="Times New Roman"/>
      <family val="1"/>
    </font>
    <font>
      <b/>
      <sz val="9"/>
      <name val=".VnArial Narrow"/>
      <family val="2"/>
    </font>
    <font>
      <b/>
      <sz val="8"/>
      <name val=".VnTime"/>
      <family val="2"/>
    </font>
    <font>
      <i/>
      <sz val="10"/>
      <name val="Times New Roman"/>
      <family val="1"/>
    </font>
    <font>
      <b/>
      <sz val="12"/>
      <name val=".VnArial Narrow"/>
      <family val="2"/>
    </font>
    <font>
      <b/>
      <sz val="11"/>
      <name val="Times New Roman"/>
      <family val="1"/>
    </font>
    <font>
      <b/>
      <sz val="10"/>
      <color theme="1"/>
      <name val="Times New Roman"/>
      <family val="1"/>
    </font>
    <font>
      <sz val="10"/>
      <color theme="1"/>
      <name val="Times New Roman"/>
      <family val="1"/>
    </font>
    <font>
      <b/>
      <sz val="14"/>
      <name val="Times New Roman"/>
      <family val="1"/>
    </font>
    <font>
      <b/>
      <sz val="13"/>
      <name val="Times New Roman"/>
      <family val="1"/>
    </font>
    <font>
      <sz val="7"/>
      <name val="Times New Roman"/>
      <family val="1"/>
    </font>
    <font>
      <sz val="13"/>
      <color theme="1"/>
      <name val="Times New Roman"/>
      <family val="1"/>
    </font>
    <font>
      <sz val="14"/>
      <color theme="0"/>
      <name val="Times New Roman"/>
      <family val="1"/>
    </font>
    <font>
      <sz val="12"/>
      <color theme="0"/>
      <name val=".VnTime"/>
      <family val="2"/>
    </font>
    <font>
      <sz val="11"/>
      <color indexed="8"/>
      <name val="Calibri"/>
      <family val="2"/>
    </font>
    <font>
      <sz val="11"/>
      <color theme="1"/>
      <name val="Calibri"/>
      <family val="2"/>
      <scheme val="minor"/>
    </font>
    <font>
      <b/>
      <i/>
      <sz val="10"/>
      <name val="Times New Roman"/>
      <family val="1"/>
    </font>
    <font>
      <sz val="10"/>
      <color theme="1"/>
      <name val=".VnArial Narrow"/>
      <family val="2"/>
    </font>
    <font>
      <sz val="10"/>
      <color rgb="FF080C9C"/>
      <name val=".VnArial Narrow"/>
      <family val="2"/>
    </font>
    <font>
      <sz val="10"/>
      <color rgb="FFFF0000"/>
      <name val="Times New Roman"/>
      <family val="1"/>
    </font>
    <font>
      <sz val="12"/>
      <name val=".VnArial Narrow"/>
      <family val="2"/>
    </font>
    <font>
      <sz val="12"/>
      <color rgb="FFFF0000"/>
      <name val=".VnArial Narrow"/>
      <family val="2"/>
    </font>
    <font>
      <sz val="10"/>
      <name val=".VnArial Narrow"/>
      <family val="2"/>
    </font>
    <font>
      <sz val="10"/>
      <color rgb="FFC00000"/>
      <name val=".VnArial Narrow"/>
      <family val="2"/>
    </font>
    <font>
      <b/>
      <sz val="10"/>
      <name val=".VnArial Narrow"/>
      <family val="2"/>
    </font>
    <font>
      <sz val="12"/>
      <color theme="1"/>
      <name val="Times New Roman"/>
      <family val="1"/>
    </font>
    <font>
      <sz val="8"/>
      <color rgb="FFFF0000"/>
      <name val="Times New Roman"/>
      <family val="1"/>
    </font>
    <font>
      <sz val="8"/>
      <color rgb="FF080C9C"/>
      <name val="Times New Roman"/>
      <family val="1"/>
    </font>
    <font>
      <b/>
      <sz val="13"/>
      <color theme="1"/>
      <name val="Times New Roman"/>
      <family val="1"/>
    </font>
    <font>
      <i/>
      <sz val="12"/>
      <name val="Times New Roman"/>
      <family val="1"/>
    </font>
    <font>
      <sz val="10"/>
      <name val=".VnTime"/>
      <family val="2"/>
    </font>
    <font>
      <sz val="11"/>
      <name val=".VnArial Narrow"/>
      <family val="2"/>
    </font>
    <font>
      <b/>
      <sz val="10"/>
      <color rgb="FF080C9C"/>
      <name val=".VnArial Narrow"/>
      <family val="2"/>
    </font>
    <font>
      <sz val="14"/>
      <color theme="1"/>
      <name val="Times New Roman"/>
      <family val="2"/>
    </font>
    <font>
      <sz val="11"/>
      <color theme="1"/>
      <name val="Times New Roman"/>
      <family val="2"/>
    </font>
    <font>
      <i/>
      <sz val="14"/>
      <name val="Times New Roman"/>
      <family val="1"/>
    </font>
    <font>
      <sz val="12"/>
      <color rgb="FF080C9C"/>
      <name val="Times New Roman"/>
      <family val="1"/>
    </font>
    <font>
      <b/>
      <sz val="12"/>
      <color rgb="FF080C9C"/>
      <name val="Times New Roman"/>
      <family val="1"/>
    </font>
    <font>
      <i/>
      <sz val="12"/>
      <color theme="1"/>
      <name val="Times New Roman"/>
      <family val="1"/>
    </font>
    <font>
      <sz val="14"/>
      <name val="Times New Roman"/>
      <family val="1"/>
    </font>
    <font>
      <sz val="10"/>
      <color rgb="FF000099"/>
      <name val="Arial"/>
      <family val="2"/>
    </font>
    <font>
      <b/>
      <sz val="11"/>
      <color rgb="FF000099"/>
      <name val="Times New Roman"/>
      <family val="1"/>
    </font>
    <font>
      <i/>
      <sz val="10"/>
      <color rgb="FF000099"/>
      <name val="Times New Roman"/>
      <family val="1"/>
    </font>
    <font>
      <sz val="12"/>
      <color rgb="FF000099"/>
      <name val=".VnArial Narrow"/>
      <family val="2"/>
    </font>
    <font>
      <sz val="10"/>
      <color rgb="FF000099"/>
      <name val="Times New Roman"/>
      <family val="1"/>
    </font>
    <font>
      <sz val="11"/>
      <color rgb="FF000099"/>
      <name val=".VnArial Narrow"/>
      <family val="2"/>
    </font>
    <font>
      <sz val="12"/>
      <color theme="1"/>
      <name val=".VnArial Narrow"/>
      <family val="2"/>
    </font>
    <font>
      <sz val="8"/>
      <color rgb="FFFF0000"/>
      <name val=".VnTime"/>
      <family val="2"/>
    </font>
    <font>
      <sz val="10"/>
      <color rgb="FF0B10E3"/>
      <name val=".VnArial Narrow"/>
      <family val="2"/>
    </font>
    <font>
      <sz val="8"/>
      <color rgb="FF0B10E3"/>
      <name val="Times New Roman"/>
      <family val="1"/>
    </font>
    <font>
      <sz val="8"/>
      <color rgb="FF0B10E3"/>
      <name val=".VnTime"/>
      <family val="2"/>
    </font>
    <font>
      <sz val="9"/>
      <color theme="1"/>
      <name val="Times New Roman"/>
      <family val="2"/>
    </font>
    <font>
      <sz val="10"/>
      <color theme="1"/>
      <name val="Times New Roman"/>
      <family val="2"/>
    </font>
    <font>
      <b/>
      <sz val="12"/>
      <color theme="1"/>
      <name val=".VnTime"/>
      <family val="2"/>
    </font>
    <font>
      <i/>
      <sz val="10"/>
      <name val="Arial"/>
      <family val="2"/>
    </font>
    <font>
      <sz val="7"/>
      <name val="Arial"/>
      <family val="2"/>
    </font>
    <font>
      <b/>
      <sz val="12"/>
      <color rgb="FF000099"/>
      <name val=".VnArial Narrow"/>
      <family val="2"/>
    </font>
    <font>
      <sz val="8"/>
      <color rgb="FF000099"/>
      <name val="Times New Roman"/>
      <family val="1"/>
    </font>
    <font>
      <sz val="10"/>
      <color rgb="FF000099"/>
      <name val=".VnArial Narrow"/>
      <family val="2"/>
    </font>
    <font>
      <sz val="8"/>
      <name val="Arial"/>
      <family val="2"/>
    </font>
    <font>
      <b/>
      <sz val="9"/>
      <color theme="1"/>
      <name val=".VnArial NarrowH"/>
      <family val="2"/>
    </font>
    <font>
      <b/>
      <sz val="10"/>
      <color theme="1"/>
      <name val=".VnArial NarrowH"/>
      <family val="2"/>
    </font>
    <font>
      <b/>
      <sz val="9"/>
      <color theme="1"/>
      <name val=".VnTime"/>
      <family val="2"/>
    </font>
    <font>
      <b/>
      <sz val="8"/>
      <color theme="1"/>
      <name val=".VnTime"/>
      <family val="2"/>
    </font>
    <font>
      <sz val="8"/>
      <color theme="1"/>
      <name val=".VnTime"/>
      <family val="2"/>
    </font>
    <font>
      <sz val="12"/>
      <color theme="1"/>
      <name val=".VnTime"/>
      <family val="2"/>
    </font>
    <font>
      <b/>
      <sz val="10"/>
      <color theme="1"/>
      <name val=".VnTime"/>
      <family val="2"/>
    </font>
    <font>
      <b/>
      <sz val="9"/>
      <color theme="1"/>
      <name val=".VnArial Narrow"/>
      <family val="2"/>
    </font>
    <font>
      <b/>
      <sz val="14"/>
      <color theme="1"/>
      <name val="Times New Roman"/>
      <family val="1"/>
    </font>
    <font>
      <b/>
      <sz val="11"/>
      <color theme="1"/>
      <name val="Times New Roman"/>
      <family val="1"/>
    </font>
    <font>
      <sz val="12"/>
      <color rgb="FF000000"/>
      <name val="Times New Roman"/>
      <family val="1"/>
    </font>
    <font>
      <b/>
      <i/>
      <sz val="12"/>
      <name val="Times New Roman"/>
      <family val="1"/>
    </font>
    <font>
      <b/>
      <i/>
      <sz val="12"/>
      <color rgb="FF000000"/>
      <name val="Times New Roman"/>
      <family val="1"/>
    </font>
    <font>
      <i/>
      <sz val="11"/>
      <color theme="1"/>
      <name val="Times New Roman"/>
      <family val="1"/>
    </font>
    <font>
      <b/>
      <sz val="12"/>
      <color rgb="FF000000"/>
      <name val="Times New Roman"/>
      <family val="1"/>
    </font>
    <font>
      <sz val="9"/>
      <color indexed="81"/>
      <name val="Tahoma"/>
      <family val="2"/>
    </font>
    <font>
      <b/>
      <sz val="14"/>
      <color indexed="8"/>
      <name val="Times New Roman"/>
      <family val="1"/>
    </font>
    <font>
      <sz val="14"/>
      <color theme="1"/>
      <name val="Times New Roman"/>
      <family val="1"/>
    </font>
    <font>
      <i/>
      <sz val="14"/>
      <color theme="1"/>
      <name val="Times New Roman"/>
      <family val="1"/>
    </font>
    <font>
      <b/>
      <vertAlign val="superscript"/>
      <sz val="12"/>
      <color theme="1"/>
      <name val="Times New Roman"/>
      <family val="1"/>
    </font>
    <font>
      <b/>
      <sz val="9"/>
      <name val=".VnTime"/>
      <family val="2"/>
    </font>
    <font>
      <b/>
      <sz val="12"/>
      <name val=".VnTime"/>
      <family val="2"/>
    </font>
    <font>
      <b/>
      <sz val="12"/>
      <color rgb="FFC00000"/>
      <name val=".VnTime"/>
      <family val="2"/>
    </font>
    <font>
      <b/>
      <sz val="9"/>
      <name val="Times New Roman"/>
      <family val="1"/>
    </font>
    <font>
      <b/>
      <sz val="12"/>
      <color rgb="FFC00000"/>
      <name val="Times New Roman"/>
      <family val="1"/>
    </font>
    <font>
      <sz val="9"/>
      <color rgb="FF080C9C"/>
      <name val="Times New Roman"/>
      <family val="1"/>
    </font>
    <font>
      <b/>
      <sz val="12"/>
      <color theme="1"/>
      <name val="Times New Roman"/>
      <family val="2"/>
    </font>
    <font>
      <sz val="9"/>
      <color theme="1"/>
      <name val=".VnArial Narrow"/>
      <family val="2"/>
    </font>
    <font>
      <b/>
      <sz val="9"/>
      <color rgb="FF080C9C"/>
      <name val=".VnArial Narrow"/>
      <family val="2"/>
    </font>
    <font>
      <sz val="12"/>
      <name val="Times New Roman"/>
      <family val="2"/>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auto="1"/>
      </left>
      <right style="thin">
        <color auto="1"/>
      </right>
      <top style="hair">
        <color auto="1"/>
      </top>
      <bottom style="hair">
        <color auto="1"/>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auto="1"/>
      </left>
      <right style="thin">
        <color auto="1"/>
      </right>
      <top style="thin">
        <color auto="1"/>
      </top>
      <bottom style="hair">
        <color auto="1"/>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auto="1"/>
      </left>
      <right style="thin">
        <color auto="1"/>
      </right>
      <top/>
      <bottom style="hair">
        <color auto="1"/>
      </bottom>
      <diagonal/>
    </border>
  </borders>
  <cellStyleXfs count="21">
    <xf numFmtId="0" fontId="0" fillId="0" borderId="0"/>
    <xf numFmtId="43" fontId="1" fillId="0" borderId="0" applyFont="0" applyFill="0" applyBorder="0" applyAlignment="0" applyProtection="0"/>
    <xf numFmtId="43" fontId="5" fillId="0" borderId="0" applyFont="0" applyFill="0" applyBorder="0" applyAlignment="0" applyProtection="0"/>
    <xf numFmtId="9" fontId="1" fillId="0" borderId="0" applyFont="0" applyFill="0" applyBorder="0" applyAlignment="0" applyProtection="0"/>
    <xf numFmtId="0" fontId="14" fillId="0" borderId="0"/>
    <xf numFmtId="0" fontId="14" fillId="0" borderId="0"/>
    <xf numFmtId="43" fontId="14"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21" fillId="0" borderId="0" applyFont="0" applyFill="0" applyBorder="0" applyAlignment="0" applyProtection="0"/>
    <xf numFmtId="0" fontId="6" fillId="0" borderId="0"/>
    <xf numFmtId="43" fontId="14" fillId="0" borderId="0" applyFont="0" applyFill="0" applyBorder="0" applyAlignment="0" applyProtection="0"/>
    <xf numFmtId="43" fontId="6" fillId="0" borderId="0" applyFont="0" applyFill="0" applyBorder="0" applyAlignment="0" applyProtection="0"/>
    <xf numFmtId="43" fontId="39" fillId="0" borderId="0" applyFont="0" applyFill="0" applyBorder="0" applyAlignment="0" applyProtection="0"/>
    <xf numFmtId="0" fontId="21" fillId="0" borderId="0"/>
    <xf numFmtId="0" fontId="21" fillId="0" borderId="0"/>
    <xf numFmtId="0" fontId="58" fillId="0" borderId="0"/>
    <xf numFmtId="168" fontId="58" fillId="0" borderId="0" applyFont="0" applyFill="0" applyBorder="0" applyAlignment="0" applyProtection="0"/>
    <xf numFmtId="0" fontId="55" fillId="0" borderId="0"/>
    <xf numFmtId="0" fontId="59" fillId="0" borderId="0"/>
    <xf numFmtId="43" fontId="59" fillId="0" borderId="0" applyFont="0" applyFill="0" applyBorder="0" applyAlignment="0" applyProtection="0"/>
  </cellStyleXfs>
  <cellXfs count="587">
    <xf numFmtId="0" fontId="0" fillId="0" borderId="0" xfId="0"/>
    <xf numFmtId="0" fontId="23" fillId="2" borderId="0" xfId="4" applyFont="1" applyFill="1" applyAlignment="1">
      <alignment horizontal="center" vertical="center"/>
    </xf>
    <xf numFmtId="0" fontId="24" fillId="2" borderId="0" xfId="4" applyFont="1" applyFill="1" applyAlignment="1">
      <alignment vertical="center"/>
    </xf>
    <xf numFmtId="167" fontId="12" fillId="2" borderId="0" xfId="4" applyNumberFormat="1" applyFont="1" applyFill="1" applyAlignment="1">
      <alignment horizontal="right" vertical="center"/>
    </xf>
    <xf numFmtId="0" fontId="23" fillId="2" borderId="0" xfId="4" applyFont="1" applyFill="1" applyAlignment="1">
      <alignment horizontal="left" vertical="center"/>
    </xf>
    <xf numFmtId="164" fontId="8" fillId="2" borderId="1" xfId="0" applyNumberFormat="1" applyFont="1" applyFill="1" applyBorder="1" applyAlignment="1">
      <alignment horizontal="center" vertical="center" wrapText="1"/>
    </xf>
    <xf numFmtId="164" fontId="23" fillId="2" borderId="1" xfId="0" applyNumberFormat="1" applyFont="1" applyFill="1" applyBorder="1" applyAlignment="1">
      <alignment horizontal="center" vertical="center"/>
    </xf>
    <xf numFmtId="0" fontId="0" fillId="2" borderId="0" xfId="0" applyFill="1" applyAlignment="1">
      <alignment horizontal="left" vertical="center"/>
    </xf>
    <xf numFmtId="0" fontId="0" fillId="2" borderId="0" xfId="0" applyFill="1"/>
    <xf numFmtId="164" fontId="9" fillId="2" borderId="10" xfId="0" applyNumberFormat="1" applyFont="1" applyFill="1" applyBorder="1" applyAlignment="1">
      <alignment horizontal="left" vertical="center" wrapText="1"/>
    </xf>
    <xf numFmtId="0" fontId="28" fillId="2" borderId="1" xfId="0" applyFont="1" applyFill="1" applyBorder="1" applyAlignment="1">
      <alignment horizontal="center" vertical="center"/>
    </xf>
    <xf numFmtId="0" fontId="28" fillId="2" borderId="3" xfId="0" applyFont="1" applyFill="1" applyBorder="1" applyAlignment="1">
      <alignment horizontal="right" vertical="center" wrapText="1"/>
    </xf>
    <xf numFmtId="0" fontId="28" fillId="2" borderId="4" xfId="0" applyFont="1" applyFill="1" applyBorder="1" applyAlignment="1">
      <alignment horizontal="left" vertical="center" wrapText="1"/>
    </xf>
    <xf numFmtId="0" fontId="28" fillId="2" borderId="1" xfId="0" applyFont="1" applyFill="1" applyBorder="1" applyAlignment="1">
      <alignment horizontal="center" vertical="center" wrapText="1"/>
    </xf>
    <xf numFmtId="0" fontId="32" fillId="2" borderId="0" xfId="0" applyFont="1" applyFill="1" applyAlignment="1">
      <alignment vertical="center"/>
    </xf>
    <xf numFmtId="165" fontId="8" fillId="2" borderId="11" xfId="13" applyNumberFormat="1" applyFont="1" applyFill="1" applyBorder="1" applyAlignment="1" applyProtection="1">
      <alignment horizontal="center" vertical="center" wrapText="1"/>
    </xf>
    <xf numFmtId="167" fontId="36" fillId="2" borderId="0" xfId="0" applyNumberFormat="1" applyFont="1" applyFill="1" applyAlignment="1">
      <alignment vertical="center"/>
    </xf>
    <xf numFmtId="165" fontId="8" fillId="2" borderId="11" xfId="13" applyNumberFormat="1" applyFont="1" applyFill="1" applyBorder="1" applyAlignment="1" applyProtection="1">
      <alignment horizontal="center" vertical="center"/>
    </xf>
    <xf numFmtId="0" fontId="0" fillId="2" borderId="0" xfId="0" applyFill="1" applyAlignment="1">
      <alignment vertical="center"/>
    </xf>
    <xf numFmtId="0" fontId="34" fillId="2" borderId="1" xfId="0" applyFont="1" applyFill="1" applyBorder="1" applyAlignment="1">
      <alignment horizontal="center" vertical="center"/>
    </xf>
    <xf numFmtId="0" fontId="34" fillId="2" borderId="3" xfId="0" applyFont="1" applyFill="1" applyBorder="1" applyAlignment="1">
      <alignment horizontal="right" vertical="center"/>
    </xf>
    <xf numFmtId="0" fontId="34" fillId="2" borderId="4" xfId="0" applyFont="1" applyFill="1" applyBorder="1" applyAlignment="1">
      <alignment horizontal="left" vertical="center"/>
    </xf>
    <xf numFmtId="0" fontId="6" fillId="2" borderId="11" xfId="0" applyFont="1" applyFill="1" applyBorder="1" applyAlignment="1">
      <alignment horizontal="center" vertical="center"/>
    </xf>
    <xf numFmtId="2" fontId="6" fillId="2" borderId="12" xfId="0" applyNumberFormat="1" applyFont="1" applyFill="1" applyBorder="1" applyAlignment="1">
      <alignment horizontal="left" vertical="center"/>
    </xf>
    <xf numFmtId="0" fontId="6" fillId="2" borderId="13" xfId="0" applyFont="1" applyFill="1" applyBorder="1" applyAlignment="1">
      <alignment horizontal="left" vertical="center"/>
    </xf>
    <xf numFmtId="0" fontId="41" fillId="2" borderId="1" xfId="0" applyFont="1" applyFill="1" applyBorder="1" applyAlignment="1">
      <alignment horizontal="center" vertical="center" wrapText="1"/>
    </xf>
    <xf numFmtId="0" fontId="7" fillId="2" borderId="4" xfId="0" applyFont="1" applyFill="1" applyBorder="1" applyAlignment="1">
      <alignment vertical="center"/>
    </xf>
    <xf numFmtId="165" fontId="30" fillId="2" borderId="1" xfId="13" applyNumberFormat="1" applyFont="1" applyFill="1" applyBorder="1" applyAlignment="1" applyProtection="1">
      <alignment horizontal="right" vertical="center"/>
    </xf>
    <xf numFmtId="2" fontId="8" fillId="2" borderId="11" xfId="0" applyNumberFormat="1" applyFont="1" applyFill="1" applyBorder="1" applyAlignment="1">
      <alignment horizontal="center" vertical="center" wrapText="1"/>
    </xf>
    <xf numFmtId="165" fontId="40" fillId="2" borderId="5" xfId="13" applyNumberFormat="1" applyFont="1" applyFill="1" applyBorder="1" applyAlignment="1">
      <alignment horizontal="left" vertical="center"/>
    </xf>
    <xf numFmtId="167" fontId="42" fillId="2" borderId="11" xfId="0" applyNumberFormat="1" applyFont="1" applyFill="1" applyBorder="1" applyAlignment="1">
      <alignment horizontal="left" vertical="center"/>
    </xf>
    <xf numFmtId="49" fontId="28" fillId="2" borderId="1" xfId="13" applyNumberFormat="1" applyFont="1" applyFill="1" applyBorder="1" applyAlignment="1" applyProtection="1">
      <alignment horizontal="center" vertical="center" wrapText="1"/>
    </xf>
    <xf numFmtId="1" fontId="45" fillId="2" borderId="11" xfId="0" applyNumberFormat="1" applyFont="1" applyFill="1" applyBorder="1" applyAlignment="1">
      <alignment horizontal="center" vertical="center"/>
    </xf>
    <xf numFmtId="165" fontId="45" fillId="2" borderId="11" xfId="13" applyNumberFormat="1" applyFont="1" applyFill="1" applyBorder="1" applyAlignment="1">
      <alignment horizontal="right" vertical="center"/>
    </xf>
    <xf numFmtId="164" fontId="45" fillId="2" borderId="11" xfId="0" applyNumberFormat="1" applyFont="1" applyFill="1" applyBorder="1" applyAlignment="1">
      <alignment vertical="center"/>
    </xf>
    <xf numFmtId="165" fontId="29" fillId="2" borderId="11" xfId="13" applyNumberFormat="1" applyFont="1" applyFill="1" applyBorder="1" applyAlignment="1">
      <alignment horizontal="right" vertical="center"/>
    </xf>
    <xf numFmtId="164" fontId="45" fillId="2" borderId="11" xfId="0" applyNumberFormat="1" applyFont="1" applyFill="1" applyBorder="1" applyAlignment="1">
      <alignment horizontal="right" vertical="center"/>
    </xf>
    <xf numFmtId="165" fontId="30" fillId="2" borderId="2" xfId="13" applyNumberFormat="1" applyFont="1" applyFill="1" applyBorder="1" applyAlignment="1" applyProtection="1">
      <alignment horizontal="center" vertical="center" wrapText="1"/>
    </xf>
    <xf numFmtId="0" fontId="28" fillId="2" borderId="0" xfId="0" applyFont="1" applyFill="1" applyAlignment="1">
      <alignment horizontal="left" vertical="center"/>
    </xf>
    <xf numFmtId="165" fontId="49" fillId="2" borderId="1" xfId="13" applyNumberFormat="1" applyFont="1" applyFill="1" applyBorder="1" applyAlignment="1" applyProtection="1">
      <alignment horizontal="right" vertical="center"/>
    </xf>
    <xf numFmtId="166" fontId="42" fillId="2" borderId="1" xfId="8" applyNumberFormat="1" applyFont="1" applyFill="1" applyBorder="1" applyAlignment="1">
      <alignment vertical="center"/>
    </xf>
    <xf numFmtId="166" fontId="42" fillId="2" borderId="1" xfId="8" applyNumberFormat="1" applyFont="1" applyFill="1" applyBorder="1" applyAlignment="1">
      <alignment vertical="center" wrapText="1"/>
    </xf>
    <xf numFmtId="9" fontId="42" fillId="2" borderId="1" xfId="3" applyFont="1" applyFill="1" applyBorder="1" applyAlignment="1">
      <alignment vertical="center" wrapText="1"/>
    </xf>
    <xf numFmtId="165" fontId="12" fillId="2" borderId="0" xfId="4" applyNumberFormat="1" applyFont="1" applyFill="1" applyAlignment="1">
      <alignment horizontal="left" vertical="center"/>
    </xf>
    <xf numFmtId="165" fontId="23" fillId="2" borderId="1" xfId="13" applyNumberFormat="1" applyFont="1" applyFill="1" applyBorder="1" applyAlignment="1" applyProtection="1">
      <alignment horizontal="center" vertical="center" wrapText="1"/>
    </xf>
    <xf numFmtId="0" fontId="17" fillId="2" borderId="1" xfId="5" applyFont="1" applyFill="1" applyBorder="1" applyAlignment="1">
      <alignment horizontal="center" vertical="center" wrapText="1"/>
    </xf>
    <xf numFmtId="0" fontId="18" fillId="2" borderId="1" xfId="4" applyFont="1" applyFill="1" applyBorder="1" applyAlignment="1">
      <alignment horizontal="center" vertical="center" wrapText="1"/>
    </xf>
    <xf numFmtId="165" fontId="26" fillId="2" borderId="1" xfId="4" applyNumberFormat="1" applyFont="1" applyFill="1" applyBorder="1" applyAlignment="1">
      <alignment horizontal="right" vertical="center"/>
    </xf>
    <xf numFmtId="165" fontId="42" fillId="2" borderId="1" xfId="6" applyNumberFormat="1" applyFont="1" applyFill="1" applyBorder="1" applyAlignment="1">
      <alignment horizontal="right" vertical="center" wrapText="1"/>
    </xf>
    <xf numFmtId="164" fontId="42" fillId="2" borderId="1" xfId="7" applyNumberFormat="1" applyFont="1" applyFill="1" applyBorder="1" applyAlignment="1">
      <alignment horizontal="right" vertical="center" wrapText="1"/>
    </xf>
    <xf numFmtId="165" fontId="22" fillId="2" borderId="1" xfId="1" applyNumberFormat="1" applyFont="1" applyFill="1" applyBorder="1" applyAlignment="1">
      <alignment horizontal="right" vertical="center" wrapText="1"/>
    </xf>
    <xf numFmtId="1" fontId="29" fillId="2" borderId="11" xfId="0" applyNumberFormat="1" applyFont="1" applyFill="1" applyBorder="1" applyAlignment="1">
      <alignment horizontal="center" vertical="center"/>
    </xf>
    <xf numFmtId="0" fontId="19" fillId="2" borderId="1" xfId="4" applyFont="1" applyFill="1" applyBorder="1" applyAlignment="1">
      <alignment horizontal="center" vertical="center" wrapText="1"/>
    </xf>
    <xf numFmtId="165" fontId="26" fillId="2" borderId="1" xfId="4" applyNumberFormat="1" applyFont="1" applyFill="1" applyBorder="1" applyAlignment="1">
      <alignment horizontal="center" vertical="center"/>
    </xf>
    <xf numFmtId="0" fontId="14" fillId="2" borderId="0" xfId="4" applyFill="1" applyAlignment="1">
      <alignment horizontal="right"/>
    </xf>
    <xf numFmtId="165" fontId="22" fillId="2" borderId="1" xfId="1" applyNumberFormat="1" applyFont="1" applyFill="1" applyBorder="1" applyAlignment="1">
      <alignment horizontal="center" vertical="center" wrapText="1"/>
    </xf>
    <xf numFmtId="166" fontId="22" fillId="2" borderId="1" xfId="9" applyNumberFormat="1" applyFont="1" applyFill="1" applyBorder="1" applyAlignment="1">
      <alignment vertical="center"/>
    </xf>
    <xf numFmtId="0" fontId="6" fillId="2" borderId="0" xfId="10" applyFill="1"/>
    <xf numFmtId="2" fontId="8" fillId="2" borderId="11" xfId="0" applyNumberFormat="1" applyFont="1" applyFill="1" applyBorder="1" applyAlignment="1">
      <alignment vertical="center"/>
    </xf>
    <xf numFmtId="2" fontId="8" fillId="2" borderId="11" xfId="0" applyNumberFormat="1" applyFont="1" applyFill="1" applyBorder="1" applyAlignment="1">
      <alignment horizontal="center" vertical="center"/>
    </xf>
    <xf numFmtId="2" fontId="56" fillId="2" borderId="11" xfId="0" applyNumberFormat="1" applyFont="1" applyFill="1" applyBorder="1" applyAlignment="1">
      <alignment horizontal="center" vertical="center"/>
    </xf>
    <xf numFmtId="165" fontId="56" fillId="2" borderId="11" xfId="13" applyNumberFormat="1" applyFont="1" applyFill="1" applyBorder="1" applyAlignment="1">
      <alignment horizontal="center" vertical="center"/>
    </xf>
    <xf numFmtId="165" fontId="44" fillId="2" borderId="11" xfId="13" applyNumberFormat="1" applyFont="1" applyFill="1" applyBorder="1" applyAlignment="1" applyProtection="1">
      <alignment horizontal="center" vertical="center" wrapText="1"/>
    </xf>
    <xf numFmtId="2" fontId="8" fillId="2" borderId="11" xfId="0" applyNumberFormat="1" applyFont="1" applyFill="1" applyBorder="1" applyAlignment="1">
      <alignment horizontal="center" wrapText="1"/>
    </xf>
    <xf numFmtId="0" fontId="4" fillId="2" borderId="8" xfId="0" applyFont="1" applyFill="1" applyBorder="1" applyAlignment="1">
      <alignment horizontal="center" vertical="center"/>
    </xf>
    <xf numFmtId="0" fontId="4" fillId="2" borderId="1" xfId="0" applyFont="1" applyFill="1" applyBorder="1" applyAlignment="1">
      <alignment horizontal="center" vertical="center"/>
    </xf>
    <xf numFmtId="0" fontId="11" fillId="2" borderId="1" xfId="0" applyFont="1" applyFill="1" applyBorder="1" applyAlignment="1">
      <alignment horizontal="center" vertical="center"/>
    </xf>
    <xf numFmtId="165" fontId="11" fillId="2" borderId="1" xfId="1" applyNumberFormat="1" applyFont="1" applyFill="1" applyBorder="1" applyAlignment="1">
      <alignment horizontal="center" vertical="center"/>
    </xf>
    <xf numFmtId="165" fontId="18" fillId="2" borderId="1" xfId="1" applyNumberFormat="1" applyFont="1" applyFill="1" applyBorder="1" applyAlignment="1">
      <alignment horizontal="center" vertical="center" wrapText="1"/>
    </xf>
    <xf numFmtId="164" fontId="23" fillId="2" borderId="1" xfId="0" applyNumberFormat="1" applyFont="1" applyFill="1" applyBorder="1" applyAlignment="1">
      <alignment horizontal="center" vertical="center" wrapText="1"/>
    </xf>
    <xf numFmtId="9" fontId="43" fillId="2" borderId="1" xfId="3" applyFont="1" applyFill="1" applyBorder="1" applyAlignment="1">
      <alignment vertical="center" wrapText="1"/>
    </xf>
    <xf numFmtId="166" fontId="47" fillId="2" borderId="1" xfId="8" applyNumberFormat="1" applyFont="1" applyFill="1" applyBorder="1" applyAlignment="1">
      <alignment vertical="center"/>
    </xf>
    <xf numFmtId="0" fontId="2" fillId="2" borderId="1" xfId="0" applyFont="1" applyFill="1" applyBorder="1" applyAlignment="1">
      <alignment horizontal="center" vertical="center" wrapText="1"/>
    </xf>
    <xf numFmtId="0" fontId="50"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13" fillId="2" borderId="0" xfId="0" applyFont="1" applyFill="1" applyAlignment="1">
      <alignment horizontal="left" vertical="center"/>
    </xf>
    <xf numFmtId="0" fontId="13" fillId="2" borderId="0" xfId="0" applyFont="1" applyFill="1" applyAlignment="1">
      <alignment horizontal="right" vertical="center"/>
    </xf>
    <xf numFmtId="0" fontId="7" fillId="2" borderId="0" xfId="0" applyFont="1" applyFill="1" applyAlignment="1">
      <alignment horizontal="left" vertical="center"/>
    </xf>
    <xf numFmtId="0" fontId="7" fillId="2" borderId="0" xfId="0" applyFont="1" applyFill="1" applyAlignment="1">
      <alignment vertical="center"/>
    </xf>
    <xf numFmtId="0" fontId="14" fillId="2" borderId="0" xfId="4" applyFill="1"/>
    <xf numFmtId="0" fontId="37" fillId="2" borderId="0" xfId="4" applyFont="1" applyFill="1" applyAlignment="1">
      <alignment horizontal="left"/>
    </xf>
    <xf numFmtId="0" fontId="37" fillId="2" borderId="0" xfId="4" applyFont="1" applyFill="1" applyAlignment="1">
      <alignment horizontal="right"/>
    </xf>
    <xf numFmtId="0" fontId="37" fillId="2" borderId="0" xfId="4" applyFont="1" applyFill="1"/>
    <xf numFmtId="0" fontId="38" fillId="2" borderId="0" xfId="4" applyFont="1" applyFill="1"/>
    <xf numFmtId="0" fontId="9" fillId="2" borderId="0" xfId="4" applyFont="1" applyFill="1" applyAlignment="1">
      <alignment horizontal="left"/>
    </xf>
    <xf numFmtId="0" fontId="9" fillId="2" borderId="0" xfId="4" applyFont="1" applyFill="1" applyAlignment="1">
      <alignment horizontal="center"/>
    </xf>
    <xf numFmtId="0" fontId="16" fillId="2" borderId="0" xfId="4" applyFont="1" applyFill="1"/>
    <xf numFmtId="0" fontId="17" fillId="2" borderId="7"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7" fillId="2" borderId="0" xfId="4" applyFont="1" applyFill="1" applyAlignment="1">
      <alignment horizontal="left" vertical="center"/>
    </xf>
    <xf numFmtId="0" fontId="18" fillId="2" borderId="0" xfId="4" applyFont="1" applyFill="1" applyAlignment="1">
      <alignment horizontal="right" vertical="center"/>
    </xf>
    <xf numFmtId="0" fontId="19" fillId="2" borderId="0" xfId="4" applyFont="1" applyFill="1" applyAlignment="1">
      <alignment horizontal="left" vertical="center"/>
    </xf>
    <xf numFmtId="0" fontId="19" fillId="2" borderId="0" xfId="4" applyFont="1" applyFill="1" applyAlignment="1">
      <alignment horizontal="center" vertical="center"/>
    </xf>
    <xf numFmtId="0" fontId="20" fillId="2" borderId="0" xfId="4" applyFont="1" applyFill="1" applyAlignment="1">
      <alignment vertical="center"/>
    </xf>
    <xf numFmtId="0" fontId="10" fillId="2" borderId="1" xfId="0" applyFont="1" applyFill="1" applyBorder="1" applyAlignment="1">
      <alignment horizontal="center" vertical="center"/>
    </xf>
    <xf numFmtId="0" fontId="10" fillId="2" borderId="3" xfId="0" applyFont="1" applyFill="1" applyBorder="1" applyAlignment="1">
      <alignment horizontal="left" vertical="center" wrapText="1"/>
    </xf>
    <xf numFmtId="0" fontId="9" fillId="2" borderId="1"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32" fillId="2" borderId="1" xfId="0" applyFont="1" applyFill="1" applyBorder="1" applyAlignment="1">
      <alignment horizontal="center" vertical="center"/>
    </xf>
    <xf numFmtId="0" fontId="8" fillId="2" borderId="1" xfId="0" applyFont="1" applyFill="1" applyBorder="1" applyAlignment="1">
      <alignment vertical="center" wrapText="1"/>
    </xf>
    <xf numFmtId="0" fontId="12" fillId="2" borderId="1" xfId="0" applyFont="1" applyFill="1" applyBorder="1" applyAlignment="1">
      <alignment horizontal="left" vertical="center" wrapText="1"/>
    </xf>
    <xf numFmtId="166" fontId="26" fillId="2" borderId="1" xfId="4" applyNumberFormat="1" applyFont="1" applyFill="1" applyBorder="1" applyAlignment="1">
      <alignment horizontal="right" vertical="center"/>
    </xf>
    <xf numFmtId="0" fontId="14" fillId="2" borderId="0" xfId="4" applyFill="1" applyAlignment="1">
      <alignment vertical="center"/>
    </xf>
    <xf numFmtId="167" fontId="35" fillId="2" borderId="0" xfId="10" applyNumberFormat="1" applyFont="1" applyFill="1"/>
    <xf numFmtId="0" fontId="3" fillId="2" borderId="0" xfId="10" applyFont="1" applyFill="1"/>
    <xf numFmtId="0" fontId="27" fillId="2" borderId="0" xfId="4" applyFont="1" applyFill="1" applyAlignment="1">
      <alignment horizontal="center" vertical="top"/>
    </xf>
    <xf numFmtId="0" fontId="14" fillId="2" borderId="0" xfId="4" applyFill="1" applyAlignment="1">
      <alignment horizontal="left"/>
    </xf>
    <xf numFmtId="167" fontId="14" fillId="2" borderId="0" xfId="4" applyNumberFormat="1" applyFill="1" applyAlignment="1">
      <alignment horizontal="left"/>
    </xf>
    <xf numFmtId="0" fontId="8" fillId="2" borderId="0" xfId="10" applyFont="1" applyFill="1"/>
    <xf numFmtId="164" fontId="35" fillId="2" borderId="1" xfId="0" applyNumberFormat="1" applyFont="1" applyFill="1" applyBorder="1" applyAlignment="1">
      <alignment horizontal="center" vertical="center" wrapText="1"/>
    </xf>
    <xf numFmtId="164" fontId="51" fillId="2" borderId="1" xfId="0" applyNumberFormat="1" applyFont="1" applyFill="1" applyBorder="1" applyAlignment="1">
      <alignment horizontal="center" vertical="center"/>
    </xf>
    <xf numFmtId="0" fontId="64" fillId="2" borderId="0" xfId="0" applyFont="1" applyFill="1"/>
    <xf numFmtId="0" fontId="64" fillId="2" borderId="0" xfId="0" applyFont="1" applyFill="1" applyAlignment="1">
      <alignment vertical="center"/>
    </xf>
    <xf numFmtId="0" fontId="65" fillId="2" borderId="0" xfId="0" applyFont="1" applyFill="1"/>
    <xf numFmtId="0" fontId="67" fillId="2" borderId="1" xfId="0" applyFont="1" applyFill="1" applyBorder="1" applyAlignment="1">
      <alignment horizontal="center" vertical="center" wrapText="1"/>
    </xf>
    <xf numFmtId="2" fontId="7" fillId="2" borderId="11" xfId="0" applyNumberFormat="1" applyFont="1" applyFill="1" applyBorder="1" applyAlignment="1">
      <alignment vertical="center"/>
    </xf>
    <xf numFmtId="0" fontId="68" fillId="2" borderId="11" xfId="0" applyFont="1" applyFill="1" applyBorder="1" applyAlignment="1">
      <alignment vertical="center"/>
    </xf>
    <xf numFmtId="167" fontId="42" fillId="2" borderId="11" xfId="0" applyNumberFormat="1" applyFont="1" applyFill="1" applyBorder="1" applyAlignment="1">
      <alignment vertical="center"/>
    </xf>
    <xf numFmtId="0" fontId="7" fillId="2" borderId="11" xfId="0" applyFont="1" applyFill="1" applyBorder="1" applyAlignment="1">
      <alignment vertical="center"/>
    </xf>
    <xf numFmtId="165" fontId="23" fillId="2" borderId="11" xfId="13" applyNumberFormat="1" applyFont="1" applyFill="1" applyBorder="1" applyAlignment="1" applyProtection="1">
      <alignment horizontal="center" vertical="center" wrapText="1"/>
    </xf>
    <xf numFmtId="0" fontId="65" fillId="2" borderId="11" xfId="0" applyFont="1" applyFill="1" applyBorder="1"/>
    <xf numFmtId="2" fontId="69" fillId="2" borderId="11" xfId="0" applyNumberFormat="1" applyFont="1" applyFill="1" applyBorder="1" applyAlignment="1">
      <alignment horizontal="center" vertical="center" wrapText="1"/>
    </xf>
    <xf numFmtId="1" fontId="68" fillId="2" borderId="11" xfId="0" applyNumberFormat="1" applyFont="1" applyFill="1" applyBorder="1" applyAlignment="1">
      <alignment horizontal="center" vertical="center"/>
    </xf>
    <xf numFmtId="2" fontId="7" fillId="2" borderId="11" xfId="0" applyNumberFormat="1" applyFont="1" applyFill="1" applyBorder="1" applyAlignment="1">
      <alignment vertical="center" wrapText="1"/>
    </xf>
    <xf numFmtId="0" fontId="45" fillId="2" borderId="11" xfId="0" applyFont="1" applyFill="1" applyBorder="1" applyAlignment="1">
      <alignment horizontal="center" vertical="center"/>
    </xf>
    <xf numFmtId="165" fontId="45" fillId="2" borderId="11" xfId="13" applyNumberFormat="1" applyFont="1" applyFill="1" applyBorder="1" applyAlignment="1" applyProtection="1">
      <alignment horizontal="right" vertical="center"/>
    </xf>
    <xf numFmtId="0" fontId="6" fillId="2" borderId="12" xfId="0" applyFont="1" applyFill="1" applyBorder="1" applyAlignment="1">
      <alignment vertical="center"/>
    </xf>
    <xf numFmtId="0" fontId="7" fillId="2" borderId="11" xfId="0" applyFont="1" applyFill="1" applyBorder="1" applyAlignment="1">
      <alignment vertical="center" wrapText="1"/>
    </xf>
    <xf numFmtId="0" fontId="8" fillId="2" borderId="11" xfId="0" applyFont="1" applyFill="1" applyBorder="1" applyAlignment="1">
      <alignment horizontal="center" vertical="center"/>
    </xf>
    <xf numFmtId="164" fontId="32" fillId="2" borderId="0" xfId="0" applyNumberFormat="1" applyFont="1" applyFill="1" applyAlignment="1">
      <alignment vertical="center"/>
    </xf>
    <xf numFmtId="164" fontId="68" fillId="2" borderId="11" xfId="0" applyNumberFormat="1" applyFont="1" applyFill="1" applyBorder="1" applyAlignment="1">
      <alignment vertical="center"/>
    </xf>
    <xf numFmtId="2" fontId="70" fillId="2" borderId="11" xfId="0" applyNumberFormat="1" applyFont="1" applyFill="1" applyBorder="1" applyAlignment="1">
      <alignment horizontal="center" vertical="center"/>
    </xf>
    <xf numFmtId="165" fontId="45" fillId="2" borderId="11" xfId="9" applyNumberFormat="1" applyFont="1" applyFill="1" applyBorder="1" applyAlignment="1">
      <alignment horizontal="right" vertical="center"/>
    </xf>
    <xf numFmtId="0" fontId="8" fillId="2" borderId="0" xfId="0" applyFont="1" applyFill="1" applyAlignment="1">
      <alignment vertical="center"/>
    </xf>
    <xf numFmtId="165" fontId="69" fillId="2" borderId="11" xfId="13" applyNumberFormat="1" applyFont="1" applyFill="1" applyBorder="1" applyAlignment="1" applyProtection="1">
      <alignment horizontal="center" vertical="center" wrapText="1"/>
    </xf>
    <xf numFmtId="165" fontId="7" fillId="2" borderId="11" xfId="13" applyNumberFormat="1" applyFont="1" applyFill="1" applyBorder="1" applyAlignment="1" applyProtection="1">
      <alignment horizontal="center" vertical="center" wrapText="1"/>
    </xf>
    <xf numFmtId="165" fontId="45" fillId="2" borderId="11" xfId="13" applyNumberFormat="1" applyFont="1" applyFill="1" applyBorder="1" applyAlignment="1">
      <alignment vertical="center"/>
    </xf>
    <xf numFmtId="0" fontId="68" fillId="2" borderId="11" xfId="0" applyFont="1" applyFill="1" applyBorder="1"/>
    <xf numFmtId="165" fontId="8" fillId="2" borderId="11" xfId="13" applyNumberFormat="1" applyFont="1" applyFill="1" applyBorder="1" applyAlignment="1" applyProtection="1">
      <alignment vertical="center" wrapText="1"/>
    </xf>
    <xf numFmtId="0" fontId="32" fillId="2" borderId="0" xfId="0" applyFont="1" applyFill="1" applyAlignment="1">
      <alignment horizontal="left" vertical="center"/>
    </xf>
    <xf numFmtId="165" fontId="70" fillId="2" borderId="11" xfId="13" applyNumberFormat="1" applyFont="1" applyFill="1" applyBorder="1" applyAlignment="1" applyProtection="1">
      <alignment horizontal="right" vertical="center"/>
    </xf>
    <xf numFmtId="0" fontId="32" fillId="2" borderId="0" xfId="0" applyFont="1" applyFill="1" applyAlignment="1">
      <alignment horizontal="left" vertical="center" wrapText="1"/>
    </xf>
    <xf numFmtId="2" fontId="7" fillId="2" borderId="13" xfId="0" applyNumberFormat="1" applyFont="1" applyFill="1" applyBorder="1" applyAlignment="1">
      <alignment vertical="center"/>
    </xf>
    <xf numFmtId="165" fontId="32" fillId="2" borderId="11" xfId="13" applyNumberFormat="1" applyFont="1" applyFill="1" applyBorder="1" applyAlignment="1" applyProtection="1">
      <alignment horizontal="center" vertical="center"/>
    </xf>
    <xf numFmtId="0" fontId="6" fillId="2" borderId="15" xfId="0" applyFont="1" applyFill="1" applyBorder="1" applyAlignment="1">
      <alignment horizontal="center" vertical="center"/>
    </xf>
    <xf numFmtId="0" fontId="6" fillId="2" borderId="17" xfId="0" applyFont="1" applyFill="1" applyBorder="1" applyAlignment="1">
      <alignment vertical="center"/>
    </xf>
    <xf numFmtId="0" fontId="6" fillId="2" borderId="18" xfId="0" applyFont="1" applyFill="1" applyBorder="1" applyAlignment="1">
      <alignment horizontal="left" vertical="center"/>
    </xf>
    <xf numFmtId="0" fontId="6" fillId="2" borderId="18" xfId="0" applyFont="1" applyFill="1" applyBorder="1" applyAlignment="1">
      <alignment vertical="center"/>
    </xf>
    <xf numFmtId="0" fontId="6" fillId="2" borderId="19" xfId="0" applyFont="1" applyFill="1" applyBorder="1" applyAlignment="1">
      <alignment horizontal="center" vertical="center"/>
    </xf>
    <xf numFmtId="165" fontId="6" fillId="2" borderId="15" xfId="13" applyNumberFormat="1" applyFont="1" applyFill="1" applyBorder="1" applyAlignment="1" applyProtection="1">
      <alignment horizontal="right" vertical="center"/>
    </xf>
    <xf numFmtId="0" fontId="45" fillId="2" borderId="15" xfId="0" applyFont="1" applyFill="1" applyBorder="1" applyAlignment="1">
      <alignment horizontal="center" vertical="center"/>
    </xf>
    <xf numFmtId="165" fontId="45" fillId="2" borderId="15" xfId="13" applyNumberFormat="1" applyFont="1" applyFill="1" applyBorder="1" applyAlignment="1" applyProtection="1">
      <alignment horizontal="right" vertical="center"/>
    </xf>
    <xf numFmtId="0" fontId="56" fillId="2" borderId="15" xfId="0" applyFont="1" applyFill="1" applyBorder="1" applyAlignment="1">
      <alignment horizontal="center" vertical="center"/>
    </xf>
    <xf numFmtId="0" fontId="68" fillId="2" borderId="15" xfId="0" applyFont="1" applyFill="1" applyBorder="1" applyAlignment="1">
      <alignment vertical="center"/>
    </xf>
    <xf numFmtId="165" fontId="6" fillId="2" borderId="15" xfId="13" applyNumberFormat="1" applyFont="1" applyFill="1" applyBorder="1" applyAlignment="1" applyProtection="1">
      <alignment horizontal="center" vertical="center"/>
    </xf>
    <xf numFmtId="0" fontId="71" fillId="2" borderId="15" xfId="0" applyFont="1" applyFill="1" applyBorder="1" applyAlignment="1">
      <alignment horizontal="left" vertical="center"/>
    </xf>
    <xf numFmtId="0" fontId="10" fillId="2" borderId="1" xfId="0" applyFont="1" applyFill="1" applyBorder="1" applyAlignment="1">
      <alignment horizontal="left" vertical="center" wrapText="1"/>
    </xf>
    <xf numFmtId="165" fontId="32" fillId="2" borderId="1" xfId="1" applyNumberFormat="1" applyFont="1" applyFill="1" applyBorder="1" applyAlignment="1">
      <alignment horizontal="center" vertical="center"/>
    </xf>
    <xf numFmtId="0" fontId="8" fillId="2" borderId="1" xfId="0" applyFont="1" applyFill="1" applyBorder="1" applyAlignment="1">
      <alignment horizontal="center" vertical="center" wrapText="1"/>
    </xf>
    <xf numFmtId="165" fontId="51" fillId="2" borderId="0" xfId="4" applyNumberFormat="1" applyFont="1" applyFill="1" applyAlignment="1">
      <alignment horizontal="left" vertical="center"/>
    </xf>
    <xf numFmtId="167" fontId="51" fillId="2" borderId="0" xfId="4" applyNumberFormat="1" applyFont="1" applyFill="1" applyAlignment="1">
      <alignment horizontal="right" vertical="center"/>
    </xf>
    <xf numFmtId="0" fontId="51" fillId="2" borderId="0" xfId="4" applyFont="1" applyFill="1" applyAlignment="1">
      <alignment horizontal="left" vertical="center"/>
    </xf>
    <xf numFmtId="0" fontId="51" fillId="2" borderId="0" xfId="4" applyFont="1" applyFill="1" applyAlignment="1">
      <alignment horizontal="center" vertical="center"/>
    </xf>
    <xf numFmtId="0" fontId="72" fillId="2" borderId="0" xfId="4" applyFont="1" applyFill="1" applyAlignment="1">
      <alignment vertical="center"/>
    </xf>
    <xf numFmtId="164" fontId="51" fillId="2" borderId="1" xfId="0" applyNumberFormat="1" applyFont="1" applyFill="1" applyBorder="1" applyAlignment="1">
      <alignment horizontal="center" vertical="center" wrapText="1"/>
    </xf>
    <xf numFmtId="164" fontId="68" fillId="2" borderId="11" xfId="0" applyNumberFormat="1" applyFont="1" applyFill="1" applyBorder="1" applyAlignment="1">
      <alignment horizontal="right" vertical="center"/>
    </xf>
    <xf numFmtId="164" fontId="23" fillId="2" borderId="2" xfId="0" applyNumberFormat="1" applyFont="1" applyFill="1" applyBorder="1" applyAlignment="1">
      <alignment horizontal="left" vertical="center" wrapText="1"/>
    </xf>
    <xf numFmtId="164" fontId="23" fillId="2" borderId="2" xfId="0" applyNumberFormat="1" applyFont="1" applyFill="1" applyBorder="1" applyAlignment="1">
      <alignment horizontal="left" vertical="center"/>
    </xf>
    <xf numFmtId="164" fontId="51" fillId="2" borderId="2" xfId="0" applyNumberFormat="1" applyFont="1" applyFill="1" applyBorder="1" applyAlignment="1">
      <alignment horizontal="left" vertical="center"/>
    </xf>
    <xf numFmtId="164" fontId="52" fillId="2" borderId="2" xfId="0" applyNumberFormat="1" applyFont="1" applyFill="1" applyBorder="1" applyAlignment="1">
      <alignment horizontal="left" vertical="center" wrapText="1"/>
    </xf>
    <xf numFmtId="2" fontId="8" fillId="2" borderId="1" xfId="0" applyNumberFormat="1" applyFont="1" applyFill="1" applyBorder="1" applyAlignment="1">
      <alignment horizontal="center" vertical="center" wrapText="1"/>
    </xf>
    <xf numFmtId="0" fontId="30" fillId="2" borderId="2" xfId="0" applyFont="1" applyFill="1" applyBorder="1" applyAlignment="1">
      <alignment horizontal="center" vertical="center" wrapText="1"/>
    </xf>
    <xf numFmtId="164" fontId="30" fillId="2" borderId="5" xfId="0" applyNumberFormat="1" applyFont="1" applyFill="1" applyBorder="1" applyAlignment="1">
      <alignment horizontal="center" vertical="center" wrapText="1"/>
    </xf>
    <xf numFmtId="167" fontId="12" fillId="2" borderId="1" xfId="0" applyNumberFormat="1" applyFont="1" applyFill="1" applyBorder="1" applyAlignment="1">
      <alignment horizontal="left" vertical="center" wrapText="1"/>
    </xf>
    <xf numFmtId="166" fontId="43" fillId="2" borderId="1" xfId="8" applyNumberFormat="1" applyFont="1" applyFill="1" applyBorder="1" applyAlignment="1">
      <alignment vertical="center" wrapText="1"/>
    </xf>
    <xf numFmtId="166" fontId="49" fillId="2" borderId="1" xfId="9" applyNumberFormat="1" applyFont="1" applyFill="1" applyBorder="1" applyAlignment="1">
      <alignment vertical="center"/>
    </xf>
    <xf numFmtId="165" fontId="23" fillId="2" borderId="0" xfId="4" applyNumberFormat="1" applyFont="1" applyFill="1" applyAlignment="1">
      <alignment horizontal="left" vertical="center"/>
    </xf>
    <xf numFmtId="167" fontId="23" fillId="2" borderId="0" xfId="4" applyNumberFormat="1" applyFont="1" applyFill="1" applyAlignment="1">
      <alignment horizontal="right" vertical="center"/>
    </xf>
    <xf numFmtId="9" fontId="47" fillId="2" borderId="1" xfId="3" applyFont="1" applyFill="1" applyBorder="1" applyAlignment="1">
      <alignment vertical="center" wrapText="1"/>
    </xf>
    <xf numFmtId="166" fontId="43" fillId="2" borderId="1" xfId="8" applyNumberFormat="1" applyFont="1" applyFill="1" applyBorder="1" applyAlignment="1">
      <alignment vertical="center"/>
    </xf>
    <xf numFmtId="0" fontId="61" fillId="2" borderId="0" xfId="10" applyFont="1" applyFill="1"/>
    <xf numFmtId="0" fontId="62" fillId="2" borderId="0" xfId="10" applyFont="1" applyFill="1"/>
    <xf numFmtId="165" fontId="76" fillId="2" borderId="1" xfId="1" applyNumberFormat="1" applyFont="1" applyFill="1" applyBorder="1" applyAlignment="1">
      <alignment horizontal="center" vertical="center"/>
    </xf>
    <xf numFmtId="165" fontId="77" fillId="2" borderId="1" xfId="1" applyNumberFormat="1" applyFont="1" applyFill="1" applyBorder="1" applyAlignment="1">
      <alignment horizontal="center" vertical="center"/>
    </xf>
    <xf numFmtId="0" fontId="32" fillId="2" borderId="1" xfId="0" applyFont="1" applyFill="1" applyBorder="1"/>
    <xf numFmtId="0" fontId="32" fillId="2" borderId="1" xfId="0" applyFont="1" applyFill="1" applyBorder="1" applyAlignment="1">
      <alignment vertical="center"/>
    </xf>
    <xf numFmtId="0" fontId="78" fillId="2" borderId="0" xfId="4" applyFont="1" applyFill="1" applyAlignment="1">
      <alignment horizontal="right"/>
    </xf>
    <xf numFmtId="165" fontId="3" fillId="2" borderId="1" xfId="13" applyNumberFormat="1" applyFont="1" applyFill="1" applyBorder="1" applyAlignment="1" applyProtection="1">
      <alignment vertical="center" wrapText="1"/>
    </xf>
    <xf numFmtId="0" fontId="30" fillId="2" borderId="2" xfId="0" applyFont="1" applyFill="1" applyBorder="1" applyAlignment="1">
      <alignment vertical="center"/>
    </xf>
    <xf numFmtId="164" fontId="9" fillId="2" borderId="5" xfId="0" applyNumberFormat="1" applyFont="1" applyFill="1" applyBorder="1" applyAlignment="1">
      <alignment horizontal="center" vertical="center" wrapText="1"/>
    </xf>
    <xf numFmtId="0" fontId="67" fillId="2" borderId="1" xfId="13" applyNumberFormat="1" applyFont="1" applyFill="1" applyBorder="1" applyAlignment="1" applyProtection="1">
      <alignment horizontal="center" vertical="center" wrapText="1"/>
    </xf>
    <xf numFmtId="0" fontId="79" fillId="2" borderId="0" xfId="0" applyFont="1" applyFill="1"/>
    <xf numFmtId="0" fontId="79" fillId="2" borderId="0" xfId="0" applyFont="1" applyFill="1" applyAlignment="1">
      <alignment vertical="center"/>
    </xf>
    <xf numFmtId="167" fontId="0" fillId="2" borderId="0" xfId="0" applyNumberFormat="1" applyFill="1" applyAlignment="1">
      <alignment vertical="center"/>
    </xf>
    <xf numFmtId="2" fontId="6" fillId="2" borderId="11" xfId="0" applyNumberFormat="1" applyFont="1" applyFill="1" applyBorder="1" applyAlignment="1">
      <alignment vertical="center"/>
    </xf>
    <xf numFmtId="1" fontId="45" fillId="2" borderId="11" xfId="0" applyNumberFormat="1" applyFont="1" applyFill="1" applyBorder="1" applyAlignment="1">
      <alignment vertical="center"/>
    </xf>
    <xf numFmtId="165" fontId="69" fillId="2" borderId="11" xfId="13" applyNumberFormat="1" applyFont="1" applyFill="1" applyBorder="1" applyAlignment="1" applyProtection="1">
      <alignment horizontal="center" vertical="center"/>
    </xf>
    <xf numFmtId="0" fontId="80" fillId="2" borderId="0" xfId="0" applyFont="1" applyFill="1" applyAlignment="1">
      <alignment wrapText="1"/>
    </xf>
    <xf numFmtId="165" fontId="9" fillId="2" borderId="11" xfId="13" applyNumberFormat="1" applyFont="1" applyFill="1" applyBorder="1" applyAlignment="1" applyProtection="1">
      <alignment horizontal="center" vertical="center" wrapText="1"/>
    </xf>
    <xf numFmtId="1" fontId="81" fillId="2" borderId="11" xfId="0" applyNumberFormat="1" applyFont="1" applyFill="1" applyBorder="1" applyAlignment="1">
      <alignment horizontal="center" vertical="center"/>
    </xf>
    <xf numFmtId="165" fontId="82" fillId="2" borderId="11" xfId="13" applyNumberFormat="1" applyFont="1" applyFill="1" applyBorder="1" applyAlignment="1" applyProtection="1">
      <alignment horizontal="center" vertical="center" wrapText="1"/>
    </xf>
    <xf numFmtId="165" fontId="8" fillId="2" borderId="0" xfId="13" applyNumberFormat="1" applyFont="1" applyFill="1" applyBorder="1" applyAlignment="1" applyProtection="1">
      <alignment vertical="center" wrapText="1"/>
    </xf>
    <xf numFmtId="167" fontId="0" fillId="2" borderId="0" xfId="0" applyNumberFormat="1" applyFill="1"/>
    <xf numFmtId="165" fontId="68" fillId="2" borderId="11" xfId="13" applyNumberFormat="1" applyFont="1" applyFill="1" applyBorder="1" applyAlignment="1">
      <alignment horizontal="right" vertical="center"/>
    </xf>
    <xf numFmtId="165" fontId="81" fillId="2" borderId="11" xfId="13" applyNumberFormat="1" applyFont="1" applyFill="1" applyBorder="1" applyAlignment="1">
      <alignment horizontal="right" vertical="center"/>
    </xf>
    <xf numFmtId="165" fontId="70" fillId="2" borderId="11" xfId="13" applyNumberFormat="1" applyFont="1" applyFill="1" applyBorder="1" applyAlignment="1">
      <alignment horizontal="center" vertical="center"/>
    </xf>
    <xf numFmtId="165" fontId="9" fillId="3" borderId="11" xfId="13" applyNumberFormat="1" applyFont="1" applyFill="1" applyBorder="1" applyAlignment="1" applyProtection="1">
      <alignment horizontal="center" vertical="center" wrapText="1"/>
    </xf>
    <xf numFmtId="167" fontId="83" fillId="3" borderId="11" xfId="0" applyNumberFormat="1" applyFont="1" applyFill="1" applyBorder="1" applyAlignment="1">
      <alignment horizontal="left" vertical="center"/>
    </xf>
    <xf numFmtId="1" fontId="46" fillId="2" borderId="11" xfId="0" applyNumberFormat="1" applyFont="1" applyFill="1" applyBorder="1" applyAlignment="1">
      <alignment horizontal="center" vertical="center"/>
    </xf>
    <xf numFmtId="0" fontId="84" fillId="2" borderId="0" xfId="0" applyFont="1" applyFill="1" applyAlignment="1">
      <alignment wrapText="1"/>
    </xf>
    <xf numFmtId="1" fontId="31" fillId="2" borderId="1" xfId="0" applyNumberFormat="1" applyFont="1" applyFill="1" applyBorder="1" applyAlignment="1">
      <alignment horizontal="center" vertical="center"/>
    </xf>
    <xf numFmtId="165" fontId="31" fillId="2" borderId="1" xfId="13" applyNumberFormat="1" applyFont="1" applyFill="1" applyBorder="1" applyAlignment="1">
      <alignment horizontal="right" vertical="center"/>
    </xf>
    <xf numFmtId="2" fontId="85" fillId="2" borderId="1" xfId="0" applyNumberFormat="1" applyFont="1" applyFill="1" applyBorder="1" applyAlignment="1">
      <alignment horizontal="center" vertical="center"/>
    </xf>
    <xf numFmtId="2" fontId="86" fillId="2" borderId="1" xfId="0" applyNumberFormat="1" applyFont="1" applyFill="1" applyBorder="1" applyAlignment="1">
      <alignment horizontal="center" vertical="center"/>
    </xf>
    <xf numFmtId="2" fontId="32" fillId="2" borderId="1" xfId="0" applyNumberFormat="1" applyFont="1" applyFill="1" applyBorder="1" applyAlignment="1">
      <alignment horizontal="center" vertical="center"/>
    </xf>
    <xf numFmtId="2" fontId="32" fillId="2" borderId="1" xfId="0" applyNumberFormat="1" applyFont="1" applyFill="1" applyBorder="1" applyAlignment="1">
      <alignment horizontal="center" vertical="center" wrapText="1"/>
    </xf>
    <xf numFmtId="164" fontId="32" fillId="2" borderId="1" xfId="0" applyNumberFormat="1" applyFont="1" applyFill="1" applyBorder="1" applyAlignment="1">
      <alignment vertical="center"/>
    </xf>
    <xf numFmtId="0" fontId="87" fillId="2" borderId="0" xfId="4" applyFont="1" applyFill="1"/>
    <xf numFmtId="0" fontId="88" fillId="2" borderId="0" xfId="4" applyFont="1" applyFill="1"/>
    <xf numFmtId="0" fontId="87" fillId="2" borderId="0" xfId="4" applyFont="1" applyFill="1" applyAlignment="1">
      <alignment horizontal="center"/>
    </xf>
    <xf numFmtId="0" fontId="78" fillId="2" borderId="0" xfId="4" applyFont="1" applyFill="1" applyAlignment="1">
      <alignment horizontal="center"/>
    </xf>
    <xf numFmtId="0" fontId="78" fillId="2" borderId="0" xfId="4" applyFont="1" applyFill="1"/>
    <xf numFmtId="0" fontId="89" fillId="2" borderId="0" xfId="4" applyFont="1" applyFill="1" applyAlignment="1">
      <alignment horizontal="center" vertical="center"/>
    </xf>
    <xf numFmtId="0" fontId="90" fillId="2" borderId="0" xfId="4" applyFont="1" applyFill="1" applyAlignment="1">
      <alignment horizontal="right"/>
    </xf>
    <xf numFmtId="165" fontId="78" fillId="2" borderId="0" xfId="1" applyNumberFormat="1" applyFont="1" applyFill="1" applyAlignment="1">
      <alignment horizontal="right"/>
    </xf>
    <xf numFmtId="165" fontId="78" fillId="2" borderId="0" xfId="1" applyNumberFormat="1" applyFont="1" applyFill="1" applyAlignment="1">
      <alignment horizontal="center"/>
    </xf>
    <xf numFmtId="0" fontId="50" fillId="2" borderId="0" xfId="10" applyFont="1" applyFill="1"/>
    <xf numFmtId="166" fontId="17" fillId="2" borderId="0" xfId="1" applyNumberFormat="1" applyFont="1" applyFill="1"/>
    <xf numFmtId="166" fontId="26" fillId="3" borderId="1" xfId="4" applyNumberFormat="1" applyFont="1" applyFill="1" applyBorder="1" applyAlignment="1">
      <alignment horizontal="right" vertical="center"/>
    </xf>
    <xf numFmtId="164" fontId="23" fillId="2" borderId="2" xfId="0" applyNumberFormat="1" applyFont="1" applyFill="1" applyBorder="1" applyAlignment="1">
      <alignment horizontal="center" vertical="center" wrapText="1"/>
    </xf>
    <xf numFmtId="0" fontId="15" fillId="2" borderId="1" xfId="4" applyFont="1" applyFill="1" applyBorder="1" applyAlignment="1">
      <alignment horizontal="center" vertical="center" wrapText="1"/>
    </xf>
    <xf numFmtId="164" fontId="42" fillId="2" borderId="1" xfId="0" applyNumberFormat="1" applyFont="1" applyFill="1" applyBorder="1" applyAlignment="1">
      <alignment horizontal="right" vertical="center"/>
    </xf>
    <xf numFmtId="164" fontId="74" fillId="2" borderId="1" xfId="0" applyNumberFormat="1" applyFont="1" applyFill="1" applyBorder="1" applyAlignment="1">
      <alignment horizontal="center" vertical="center" wrapText="1"/>
    </xf>
    <xf numFmtId="165" fontId="74" fillId="2" borderId="0" xfId="4" applyNumberFormat="1" applyFont="1" applyFill="1" applyAlignment="1">
      <alignment horizontal="left" vertical="center"/>
    </xf>
    <xf numFmtId="167" fontId="74" fillId="2" borderId="0" xfId="4" applyNumberFormat="1" applyFont="1" applyFill="1" applyAlignment="1">
      <alignment horizontal="right" vertical="center"/>
    </xf>
    <xf numFmtId="0" fontId="74" fillId="2" borderId="0" xfId="4" applyFont="1" applyFill="1" applyAlignment="1">
      <alignment horizontal="left" vertical="center"/>
    </xf>
    <xf numFmtId="0" fontId="74" fillId="2" borderId="0" xfId="4" applyFont="1" applyFill="1" applyAlignment="1">
      <alignment horizontal="center" vertical="center"/>
    </xf>
    <xf numFmtId="0" fontId="75" fillId="2" borderId="0" xfId="4" applyFont="1" applyFill="1" applyAlignment="1">
      <alignment vertical="center"/>
    </xf>
    <xf numFmtId="0" fontId="31" fillId="2" borderId="1" xfId="0" applyFont="1" applyFill="1" applyBorder="1" applyAlignment="1">
      <alignment horizontal="center" vertical="center"/>
    </xf>
    <xf numFmtId="165" fontId="31" fillId="2" borderId="1" xfId="13" applyNumberFormat="1" applyFont="1" applyFill="1" applyBorder="1" applyAlignment="1" applyProtection="1">
      <alignment horizontal="right" vertical="center"/>
    </xf>
    <xf numFmtId="0" fontId="9" fillId="2" borderId="1" xfId="0" applyFont="1" applyFill="1" applyBorder="1" applyAlignment="1">
      <alignment vertical="center" wrapText="1"/>
    </xf>
    <xf numFmtId="166" fontId="9" fillId="2" borderId="1" xfId="8" applyNumberFormat="1" applyFont="1" applyFill="1" applyBorder="1" applyAlignment="1">
      <alignment horizontal="center" vertical="center" wrapText="1"/>
    </xf>
    <xf numFmtId="165" fontId="47" fillId="2" borderId="1" xfId="8" applyNumberFormat="1" applyFont="1" applyFill="1" applyBorder="1" applyAlignment="1">
      <alignment vertical="center" wrapText="1"/>
    </xf>
    <xf numFmtId="0" fontId="8" fillId="2" borderId="1" xfId="0" applyFont="1" applyFill="1" applyBorder="1" applyAlignment="1">
      <alignment horizontal="center" vertical="center"/>
    </xf>
    <xf numFmtId="167" fontId="8" fillId="2" borderId="1" xfId="0" applyNumberFormat="1" applyFont="1" applyFill="1" applyBorder="1" applyAlignment="1">
      <alignment horizontal="center" vertical="center" wrapText="1"/>
    </xf>
    <xf numFmtId="0" fontId="6" fillId="2" borderId="0" xfId="10" applyFill="1" applyAlignment="1">
      <alignment horizontal="center"/>
    </xf>
    <xf numFmtId="1" fontId="32" fillId="2" borderId="1" xfId="0" applyNumberFormat="1" applyFont="1" applyFill="1" applyBorder="1" applyAlignment="1">
      <alignment horizontal="center" vertical="center"/>
    </xf>
    <xf numFmtId="164" fontId="32" fillId="2" borderId="1" xfId="0" applyNumberFormat="1" applyFont="1" applyFill="1" applyBorder="1" applyAlignment="1">
      <alignment horizontal="right" vertical="center"/>
    </xf>
    <xf numFmtId="2" fontId="11" fillId="2" borderId="1" xfId="0" applyNumberFormat="1" applyFont="1" applyFill="1" applyBorder="1" applyAlignment="1">
      <alignment horizontal="center" vertical="center" wrapText="1"/>
    </xf>
    <xf numFmtId="2" fontId="11" fillId="2" borderId="1" xfId="0" applyNumberFormat="1" applyFont="1" applyFill="1" applyBorder="1" applyAlignment="1">
      <alignment horizontal="center" vertical="center"/>
    </xf>
    <xf numFmtId="166" fontId="22" fillId="2" borderId="1" xfId="9" applyNumberFormat="1" applyFont="1" applyFill="1" applyBorder="1" applyAlignment="1">
      <alignment horizontal="center" vertical="center"/>
    </xf>
    <xf numFmtId="1" fontId="42" fillId="2" borderId="1" xfId="0" applyNumberFormat="1" applyFont="1" applyFill="1" applyBorder="1" applyAlignment="1">
      <alignment horizontal="center" vertical="center"/>
    </xf>
    <xf numFmtId="0" fontId="91" fillId="2" borderId="1" xfId="4" applyFont="1" applyFill="1" applyBorder="1" applyAlignment="1">
      <alignment vertical="center"/>
    </xf>
    <xf numFmtId="0" fontId="31" fillId="2" borderId="3" xfId="4" applyFont="1" applyFill="1" applyBorder="1" applyAlignment="1">
      <alignment horizontal="center" vertical="center"/>
    </xf>
    <xf numFmtId="0" fontId="22" fillId="2" borderId="1" xfId="4" applyFont="1" applyFill="1" applyBorder="1" applyAlignment="1">
      <alignment horizontal="center" vertical="center"/>
    </xf>
    <xf numFmtId="165" fontId="49" fillId="2" borderId="1" xfId="4" applyNumberFormat="1" applyFont="1" applyFill="1" applyBorder="1" applyAlignment="1">
      <alignment horizontal="right" vertical="center"/>
    </xf>
    <xf numFmtId="166" fontId="55" fillId="2" borderId="0" xfId="4" applyNumberFormat="1" applyFont="1" applyFill="1" applyAlignment="1">
      <alignment horizontal="left" vertical="center"/>
    </xf>
    <xf numFmtId="0" fontId="55" fillId="2" borderId="0" xfId="4" applyFont="1" applyFill="1" applyAlignment="1">
      <alignment horizontal="right" vertical="center"/>
    </xf>
    <xf numFmtId="167" fontId="55" fillId="2" borderId="0" xfId="4" applyNumberFormat="1" applyFont="1" applyFill="1" applyAlignment="1">
      <alignment horizontal="left" vertical="center"/>
    </xf>
    <xf numFmtId="0" fontId="55" fillId="2" borderId="0" xfId="4" applyFont="1" applyFill="1" applyAlignment="1">
      <alignment vertical="center"/>
    </xf>
    <xf numFmtId="165" fontId="48" fillId="2" borderId="1" xfId="6" applyNumberFormat="1" applyFont="1" applyFill="1" applyBorder="1" applyAlignment="1">
      <alignment horizontal="right" vertical="center" wrapText="1"/>
    </xf>
    <xf numFmtId="165" fontId="92" fillId="2" borderId="1" xfId="4" applyNumberFormat="1" applyFont="1" applyFill="1" applyBorder="1" applyAlignment="1">
      <alignment horizontal="right" vertical="center"/>
    </xf>
    <xf numFmtId="166" fontId="92" fillId="2" borderId="1" xfId="4" applyNumberFormat="1" applyFont="1" applyFill="1" applyBorder="1" applyAlignment="1">
      <alignment horizontal="right" vertical="center"/>
    </xf>
    <xf numFmtId="166" fontId="57" fillId="2" borderId="1" xfId="8" applyNumberFormat="1" applyFont="1" applyFill="1" applyBorder="1" applyAlignment="1">
      <alignment vertical="center" wrapText="1"/>
    </xf>
    <xf numFmtId="164" fontId="52" fillId="2" borderId="1" xfId="0" applyNumberFormat="1" applyFont="1" applyFill="1" applyBorder="1" applyAlignment="1">
      <alignment horizontal="center" vertical="center" wrapText="1"/>
    </xf>
    <xf numFmtId="166" fontId="73" fillId="2" borderId="1" xfId="8" applyNumberFormat="1" applyFont="1" applyFill="1" applyBorder="1" applyAlignment="1">
      <alignment vertical="center" wrapText="1"/>
    </xf>
    <xf numFmtId="0" fontId="31" fillId="2" borderId="3" xfId="0" applyFont="1" applyFill="1" applyBorder="1" applyAlignment="1">
      <alignment horizontal="left" vertical="center" wrapText="1"/>
    </xf>
    <xf numFmtId="166" fontId="47" fillId="2" borderId="1" xfId="8" applyNumberFormat="1" applyFont="1" applyFill="1" applyBorder="1" applyAlignment="1">
      <alignment vertical="center" wrapText="1"/>
    </xf>
    <xf numFmtId="0" fontId="31" fillId="2" borderId="1" xfId="0" applyFont="1" applyFill="1" applyBorder="1" applyAlignment="1">
      <alignment horizontal="center" vertical="center" wrapText="1"/>
    </xf>
    <xf numFmtId="165" fontId="31" fillId="2" borderId="1" xfId="2" applyNumberFormat="1" applyFont="1" applyFill="1" applyBorder="1" applyAlignment="1">
      <alignment horizontal="right" vertical="center" wrapText="1"/>
    </xf>
    <xf numFmtId="0" fontId="85" fillId="2" borderId="1" xfId="0" applyFont="1" applyFill="1" applyBorder="1" applyAlignment="1">
      <alignment horizontal="center" vertical="center" wrapText="1"/>
    </xf>
    <xf numFmtId="166" fontId="8" fillId="2" borderId="1" xfId="8" applyNumberFormat="1" applyFont="1" applyFill="1" applyBorder="1" applyAlignment="1">
      <alignment horizontal="center" vertical="center" wrapText="1"/>
    </xf>
    <xf numFmtId="0" fontId="0" fillId="2" borderId="0" xfId="0" applyFill="1" applyAlignment="1">
      <alignment horizontal="center" vertical="center"/>
    </xf>
    <xf numFmtId="0" fontId="0" fillId="2" borderId="0" xfId="0" applyFill="1" applyAlignment="1">
      <alignment horizontal="center"/>
    </xf>
    <xf numFmtId="43" fontId="13" fillId="2" borderId="0" xfId="0" applyNumberFormat="1" applyFont="1" applyFill="1" applyAlignment="1">
      <alignment horizontal="right"/>
    </xf>
    <xf numFmtId="0" fontId="3" fillId="2" borderId="1" xfId="4" applyFont="1" applyFill="1" applyBorder="1" applyAlignment="1">
      <alignment horizontal="center" vertical="center" wrapText="1"/>
    </xf>
    <xf numFmtId="43" fontId="94" fillId="2" borderId="1" xfId="4" applyNumberFormat="1" applyFont="1" applyFill="1" applyBorder="1" applyAlignment="1">
      <alignment horizontal="center" vertical="center" wrapText="1"/>
    </xf>
    <xf numFmtId="9" fontId="3" fillId="2" borderId="1" xfId="3" applyFont="1" applyFill="1" applyBorder="1" applyAlignment="1">
      <alignment horizontal="center" vertical="center" wrapText="1"/>
    </xf>
    <xf numFmtId="0" fontId="2" fillId="2" borderId="0" xfId="0" applyFont="1" applyFill="1" applyAlignment="1">
      <alignment horizontal="center"/>
    </xf>
    <xf numFmtId="0" fontId="50" fillId="2" borderId="16" xfId="0" applyFont="1" applyFill="1" applyBorder="1" applyAlignment="1">
      <alignment horizontal="center" vertical="center"/>
    </xf>
    <xf numFmtId="166" fontId="6" fillId="2" borderId="16" xfId="8" applyNumberFormat="1" applyFont="1" applyFill="1" applyBorder="1" applyAlignment="1">
      <alignment horizontal="center" vertical="center"/>
    </xf>
    <xf numFmtId="165" fontId="6" fillId="2" borderId="16" xfId="13" applyNumberFormat="1" applyFont="1" applyFill="1" applyBorder="1" applyAlignment="1">
      <alignment vertical="center"/>
    </xf>
    <xf numFmtId="166" fontId="6" fillId="2" borderId="16" xfId="8" applyNumberFormat="1" applyFont="1" applyFill="1" applyBorder="1" applyAlignment="1">
      <alignment vertical="center"/>
    </xf>
    <xf numFmtId="166" fontId="36" fillId="2" borderId="0" xfId="0" applyNumberFormat="1" applyFont="1" applyFill="1"/>
    <xf numFmtId="0" fontId="36" fillId="2" borderId="0" xfId="0" applyFont="1" applyFill="1"/>
    <xf numFmtId="0" fontId="50" fillId="2" borderId="11" xfId="0" applyFont="1" applyFill="1" applyBorder="1" applyAlignment="1">
      <alignment horizontal="center" vertical="center"/>
    </xf>
    <xf numFmtId="166" fontId="50" fillId="2" borderId="11" xfId="8" applyNumberFormat="1" applyFont="1" applyFill="1" applyBorder="1" applyAlignment="1">
      <alignment vertical="center" wrapText="1"/>
    </xf>
    <xf numFmtId="166" fontId="50" fillId="2" borderId="11" xfId="8" applyNumberFormat="1" applyFont="1" applyFill="1" applyBorder="1" applyAlignment="1">
      <alignment vertical="center"/>
    </xf>
    <xf numFmtId="0" fontId="36" fillId="2" borderId="0" xfId="0" applyFont="1" applyFill="1" applyAlignment="1">
      <alignment horizontal="left"/>
    </xf>
    <xf numFmtId="0" fontId="50" fillId="2" borderId="15" xfId="0" applyFont="1" applyFill="1" applyBorder="1" applyAlignment="1">
      <alignment horizontal="center" vertical="center"/>
    </xf>
    <xf numFmtId="166" fontId="50" fillId="2" borderId="15" xfId="8" applyNumberFormat="1" applyFont="1" applyFill="1" applyBorder="1" applyAlignment="1">
      <alignment vertical="center"/>
    </xf>
    <xf numFmtId="166" fontId="50" fillId="2" borderId="16" xfId="8" applyNumberFormat="1" applyFont="1" applyFill="1" applyBorder="1" applyAlignment="1">
      <alignment vertical="center"/>
    </xf>
    <xf numFmtId="166" fontId="61" fillId="2" borderId="11" xfId="8" applyNumberFormat="1" applyFont="1" applyFill="1" applyBorder="1" applyAlignment="1">
      <alignment vertical="center" wrapText="1"/>
    </xf>
    <xf numFmtId="166" fontId="6" fillId="2" borderId="15" xfId="8" applyNumberFormat="1" applyFont="1" applyFill="1" applyBorder="1" applyAlignment="1">
      <alignment vertical="center"/>
    </xf>
    <xf numFmtId="43" fontId="2" fillId="2" borderId="1" xfId="0" applyNumberFormat="1" applyFont="1" applyFill="1" applyBorder="1" applyAlignment="1">
      <alignment horizontal="right" vertical="center"/>
    </xf>
    <xf numFmtId="0" fontId="2" fillId="2" borderId="1" xfId="0" applyFont="1" applyFill="1" applyBorder="1" applyAlignment="1">
      <alignment vertical="center"/>
    </xf>
    <xf numFmtId="166" fontId="2" fillId="2" borderId="1" xfId="0" applyNumberFormat="1" applyFont="1" applyFill="1" applyBorder="1" applyAlignment="1">
      <alignment vertical="center"/>
    </xf>
    <xf numFmtId="0" fontId="53" fillId="2" borderId="0" xfId="0" applyFont="1" applyFill="1" applyAlignment="1">
      <alignment vertical="center"/>
    </xf>
    <xf numFmtId="166" fontId="0" fillId="2" borderId="0" xfId="0" applyNumberFormat="1" applyFill="1"/>
    <xf numFmtId="43" fontId="59" fillId="2" borderId="0" xfId="0" applyNumberFormat="1" applyFont="1" applyFill="1"/>
    <xf numFmtId="166" fontId="59" fillId="0" borderId="0" xfId="1" applyNumberFormat="1" applyFont="1"/>
    <xf numFmtId="0" fontId="59" fillId="0" borderId="0" xfId="19"/>
    <xf numFmtId="0" fontId="3" fillId="0" borderId="0" xfId="18" applyFont="1" applyAlignment="1">
      <alignment horizontal="center" vertical="center"/>
    </xf>
    <xf numFmtId="166" fontId="59" fillId="0" borderId="0" xfId="19" applyNumberFormat="1"/>
    <xf numFmtId="3" fontId="3" fillId="0" borderId="5" xfId="18" applyNumberFormat="1" applyFont="1" applyBorder="1" applyAlignment="1">
      <alignment horizontal="center" vertical="center" wrapText="1"/>
    </xf>
    <xf numFmtId="0" fontId="3" fillId="0" borderId="1" xfId="18" applyFont="1" applyBorder="1" applyAlignment="1">
      <alignment horizontal="center" vertical="center" wrapText="1"/>
    </xf>
    <xf numFmtId="166" fontId="3" fillId="0" borderId="1" xfId="8" applyNumberFormat="1" applyFont="1" applyBorder="1" applyAlignment="1">
      <alignment vertical="center" wrapText="1"/>
    </xf>
    <xf numFmtId="166" fontId="3" fillId="0" borderId="1" xfId="20" applyNumberFormat="1" applyFont="1" applyBorder="1" applyAlignment="1">
      <alignment vertical="center" wrapText="1"/>
    </xf>
    <xf numFmtId="166" fontId="40" fillId="0" borderId="0" xfId="20" applyNumberFormat="1" applyFont="1"/>
    <xf numFmtId="0" fontId="96" fillId="0" borderId="1" xfId="18" applyFont="1" applyBorder="1" applyAlignment="1">
      <alignment horizontal="center" vertical="center" wrapText="1"/>
    </xf>
    <xf numFmtId="0" fontId="97" fillId="0" borderId="4" xfId="19" applyFont="1" applyBorder="1" applyAlignment="1">
      <alignment vertical="center"/>
    </xf>
    <xf numFmtId="3" fontId="96" fillId="0" borderId="5" xfId="18" applyNumberFormat="1" applyFont="1" applyBorder="1" applyAlignment="1">
      <alignment horizontal="center" vertical="center" wrapText="1"/>
    </xf>
    <xf numFmtId="166" fontId="96" fillId="0" borderId="1" xfId="8" applyNumberFormat="1" applyFont="1" applyBorder="1" applyAlignment="1">
      <alignment vertical="center" wrapText="1"/>
    </xf>
    <xf numFmtId="166" fontId="96" fillId="0" borderId="1" xfId="20" applyNumberFormat="1" applyFont="1" applyBorder="1" applyAlignment="1">
      <alignment vertical="center" wrapText="1"/>
    </xf>
    <xf numFmtId="0" fontId="97" fillId="0" borderId="0" xfId="19" applyFont="1" applyAlignment="1">
      <alignment vertical="center" wrapText="1"/>
    </xf>
    <xf numFmtId="0" fontId="54" fillId="0" borderId="1" xfId="18" applyFont="1" applyBorder="1" applyAlignment="1">
      <alignment horizontal="center" vertical="center" wrapText="1"/>
    </xf>
    <xf numFmtId="166" fontId="54" fillId="0" borderId="1" xfId="8" applyNumberFormat="1" applyFont="1" applyBorder="1" applyAlignment="1">
      <alignment vertical="center" wrapText="1"/>
    </xf>
    <xf numFmtId="0" fontId="6" fillId="0" borderId="20" xfId="18" applyFont="1" applyBorder="1" applyAlignment="1">
      <alignment horizontal="center" vertical="center" wrapText="1"/>
    </xf>
    <xf numFmtId="0" fontId="6" fillId="0" borderId="16" xfId="18" applyFont="1" applyBorder="1" applyAlignment="1">
      <alignment horizontal="justify" vertical="center" wrapText="1"/>
    </xf>
    <xf numFmtId="166" fontId="6" fillId="0" borderId="20" xfId="8" applyNumberFormat="1" applyFont="1" applyBorder="1" applyAlignment="1">
      <alignment vertical="center" wrapText="1"/>
    </xf>
    <xf numFmtId="166" fontId="6" fillId="0" borderId="20" xfId="20" applyNumberFormat="1" applyFont="1" applyBorder="1" applyAlignment="1">
      <alignment vertical="center" wrapText="1"/>
    </xf>
    <xf numFmtId="0" fontId="6" fillId="0" borderId="11" xfId="18" applyFont="1" applyBorder="1" applyAlignment="1">
      <alignment horizontal="center" vertical="center" wrapText="1"/>
    </xf>
    <xf numFmtId="166" fontId="6" fillId="0" borderId="11" xfId="8" applyNumberFormat="1" applyFont="1" applyBorder="1" applyAlignment="1">
      <alignment vertical="center" wrapText="1"/>
    </xf>
    <xf numFmtId="0" fontId="95" fillId="0" borderId="11" xfId="19" applyFont="1" applyBorder="1" applyAlignment="1">
      <alignment vertical="center" wrapText="1"/>
    </xf>
    <xf numFmtId="0" fontId="6" fillId="0" borderId="20" xfId="18" applyFont="1" applyBorder="1" applyAlignment="1">
      <alignment horizontal="left" vertical="center" wrapText="1"/>
    </xf>
    <xf numFmtId="0" fontId="6" fillId="0" borderId="14" xfId="18" applyFont="1" applyBorder="1" applyAlignment="1">
      <alignment horizontal="left" vertical="center" wrapText="1"/>
    </xf>
    <xf numFmtId="0" fontId="6" fillId="0" borderId="14" xfId="18" applyFont="1" applyBorder="1" applyAlignment="1">
      <alignment horizontal="center" vertical="center" wrapText="1"/>
    </xf>
    <xf numFmtId="166" fontId="6" fillId="0" borderId="14" xfId="8" applyNumberFormat="1" applyFont="1" applyBorder="1" applyAlignment="1">
      <alignment vertical="center" wrapText="1"/>
    </xf>
    <xf numFmtId="0" fontId="97" fillId="0" borderId="1" xfId="19" applyFont="1" applyBorder="1" applyAlignment="1">
      <alignment vertical="center" wrapText="1"/>
    </xf>
    <xf numFmtId="166" fontId="98" fillId="0" borderId="0" xfId="1" applyNumberFormat="1" applyFont="1"/>
    <xf numFmtId="0" fontId="98" fillId="0" borderId="0" xfId="19" applyFont="1"/>
    <xf numFmtId="0" fontId="6" fillId="0" borderId="16" xfId="18" applyFont="1" applyBorder="1" applyAlignment="1">
      <alignment horizontal="center" vertical="center" wrapText="1"/>
    </xf>
    <xf numFmtId="0" fontId="6" fillId="0" borderId="16" xfId="18" applyFont="1" applyBorder="1" applyAlignment="1">
      <alignment horizontal="left" vertical="center" wrapText="1"/>
    </xf>
    <xf numFmtId="166" fontId="6" fillId="0" borderId="16" xfId="8" applyNumberFormat="1" applyFont="1" applyBorder="1" applyAlignment="1">
      <alignment vertical="center" wrapText="1"/>
    </xf>
    <xf numFmtId="166" fontId="6" fillId="0" borderId="16" xfId="20" applyNumberFormat="1" applyFont="1" applyBorder="1" applyAlignment="1">
      <alignment vertical="center" wrapText="1"/>
    </xf>
    <xf numFmtId="0" fontId="6" fillId="0" borderId="11" xfId="18" applyFont="1" applyBorder="1" applyAlignment="1">
      <alignment horizontal="left" vertical="center" wrapText="1"/>
    </xf>
    <xf numFmtId="166" fontId="6" fillId="0" borderId="11" xfId="20" applyNumberFormat="1" applyFont="1" applyBorder="1" applyAlignment="1">
      <alignment vertical="center" wrapText="1"/>
    </xf>
    <xf numFmtId="0" fontId="6" fillId="0" borderId="15" xfId="18" applyFont="1" applyBorder="1" applyAlignment="1">
      <alignment horizontal="center" vertical="center" wrapText="1"/>
    </xf>
    <xf numFmtId="0" fontId="6" fillId="0" borderId="15" xfId="18" applyFont="1" applyBorder="1" applyAlignment="1">
      <alignment horizontal="left" vertical="center" wrapText="1"/>
    </xf>
    <xf numFmtId="166" fontId="6" fillId="0" borderId="15" xfId="8" applyNumberFormat="1" applyFont="1" applyBorder="1" applyAlignment="1">
      <alignment vertical="center" wrapText="1"/>
    </xf>
    <xf numFmtId="166" fontId="6" fillId="0" borderId="15" xfId="20" applyNumberFormat="1" applyFont="1" applyBorder="1" applyAlignment="1">
      <alignment vertical="center" wrapText="1"/>
    </xf>
    <xf numFmtId="166" fontId="98" fillId="3" borderId="0" xfId="1" applyNumberFormat="1" applyFont="1" applyFill="1"/>
    <xf numFmtId="9" fontId="98" fillId="0" borderId="0" xfId="19" applyNumberFormat="1" applyFont="1"/>
    <xf numFmtId="0" fontId="6" fillId="0" borderId="16" xfId="18" applyFont="1" applyBorder="1" applyAlignment="1">
      <alignment vertical="center" wrapText="1"/>
    </xf>
    <xf numFmtId="0" fontId="6" fillId="0" borderId="15" xfId="18" applyFont="1" applyBorder="1" applyAlignment="1">
      <alignment vertical="center" wrapText="1"/>
    </xf>
    <xf numFmtId="0" fontId="54" fillId="0" borderId="5" xfId="18" applyFont="1" applyBorder="1" applyAlignment="1">
      <alignment horizontal="center" vertical="center" wrapText="1"/>
    </xf>
    <xf numFmtId="166" fontId="54" fillId="0" borderId="5" xfId="8" applyNumberFormat="1" applyFont="1" applyBorder="1" applyAlignment="1">
      <alignment vertical="center" wrapText="1"/>
    </xf>
    <xf numFmtId="0" fontId="97" fillId="0" borderId="1" xfId="19" applyFont="1" applyBorder="1" applyAlignment="1">
      <alignment wrapText="1"/>
    </xf>
    <xf numFmtId="43" fontId="54" fillId="0" borderId="1" xfId="20" applyFont="1" applyBorder="1" applyAlignment="1">
      <alignment horizontal="center" vertical="center" wrapText="1"/>
    </xf>
    <xf numFmtId="0" fontId="96" fillId="0" borderId="1" xfId="18" applyFont="1" applyBorder="1" applyAlignment="1">
      <alignment vertical="center" wrapText="1"/>
    </xf>
    <xf numFmtId="0" fontId="6" fillId="0" borderId="11" xfId="18" applyFont="1" applyBorder="1" applyAlignment="1">
      <alignment vertical="center" wrapText="1"/>
    </xf>
    <xf numFmtId="0" fontId="6" fillId="0" borderId="5" xfId="18" applyFont="1" applyBorder="1" applyAlignment="1">
      <alignment horizontal="center" vertical="center" wrapText="1"/>
    </xf>
    <xf numFmtId="0" fontId="6" fillId="0" borderId="5" xfId="18" applyFont="1" applyBorder="1" applyAlignment="1">
      <alignment vertical="center" wrapText="1"/>
    </xf>
    <xf numFmtId="166" fontId="6" fillId="0" borderId="5" xfId="8" applyNumberFormat="1" applyFont="1" applyBorder="1" applyAlignment="1">
      <alignment vertical="center" wrapText="1"/>
    </xf>
    <xf numFmtId="0" fontId="99" fillId="0" borderId="8" xfId="19" applyFont="1" applyBorder="1" applyAlignment="1">
      <alignment wrapText="1"/>
    </xf>
    <xf numFmtId="0" fontId="6" fillId="0" borderId="1" xfId="18" applyFont="1" applyBorder="1" applyAlignment="1">
      <alignment horizontal="center" vertical="center" wrapText="1"/>
    </xf>
    <xf numFmtId="166" fontId="6" fillId="0" borderId="1" xfId="8" applyNumberFormat="1" applyFont="1" applyBorder="1" applyAlignment="1">
      <alignment vertical="center" wrapText="1"/>
    </xf>
    <xf numFmtId="0" fontId="6" fillId="0" borderId="2" xfId="18" applyFont="1" applyBorder="1" applyAlignment="1">
      <alignment horizontal="center" vertical="center" wrapText="1"/>
    </xf>
    <xf numFmtId="0" fontId="102" fillId="0" borderId="0" xfId="16" applyFont="1" applyAlignment="1">
      <alignment vertical="center" wrapText="1"/>
    </xf>
    <xf numFmtId="0" fontId="103" fillId="0" borderId="6" xfId="16" applyFont="1" applyBorder="1" applyAlignment="1">
      <alignment horizontal="center" vertical="center" wrapText="1"/>
    </xf>
    <xf numFmtId="0" fontId="58" fillId="0" borderId="0" xfId="16" applyAlignment="1">
      <alignment vertical="center" wrapText="1"/>
    </xf>
    <xf numFmtId="0" fontId="98" fillId="0" borderId="5" xfId="16" applyFont="1" applyBorder="1" applyAlignment="1">
      <alignment horizontal="center" vertical="center" wrapText="1"/>
    </xf>
    <xf numFmtId="0" fontId="13" fillId="0" borderId="0" xfId="16" applyFont="1" applyAlignment="1">
      <alignment vertical="center" wrapText="1"/>
    </xf>
    <xf numFmtId="0" fontId="2" fillId="0" borderId="1" xfId="16" applyFont="1" applyBorder="1" applyAlignment="1">
      <alignment horizontal="center" vertical="center" wrapText="1"/>
    </xf>
    <xf numFmtId="0" fontId="2" fillId="0" borderId="1" xfId="16" applyFont="1" applyBorder="1" applyAlignment="1">
      <alignment horizontal="left" vertical="center" wrapText="1"/>
    </xf>
    <xf numFmtId="169" fontId="2" fillId="0" borderId="1" xfId="17" applyNumberFormat="1" applyFont="1" applyBorder="1" applyAlignment="1">
      <alignment horizontal="right" vertical="center" wrapText="1"/>
    </xf>
    <xf numFmtId="3" fontId="2" fillId="0" borderId="1" xfId="17" applyNumberFormat="1" applyFont="1" applyBorder="1" applyAlignment="1">
      <alignment horizontal="right" vertical="center" wrapText="1"/>
    </xf>
    <xf numFmtId="170" fontId="102" fillId="0" borderId="0" xfId="1" applyNumberFormat="1" applyFont="1" applyAlignment="1">
      <alignment vertical="center" wrapText="1"/>
    </xf>
    <xf numFmtId="0" fontId="50" fillId="0" borderId="1" xfId="16" applyFont="1" applyBorder="1" applyAlignment="1">
      <alignment horizontal="center" vertical="center" wrapText="1"/>
    </xf>
    <xf numFmtId="0" fontId="50" fillId="0" borderId="1" xfId="16" applyFont="1" applyBorder="1" applyAlignment="1">
      <alignment horizontal="left" vertical="center" wrapText="1"/>
    </xf>
    <xf numFmtId="169" fontId="50" fillId="0" borderId="1" xfId="17" applyNumberFormat="1" applyFont="1" applyBorder="1" applyAlignment="1">
      <alignment horizontal="right" vertical="center" wrapText="1"/>
    </xf>
    <xf numFmtId="3" fontId="50" fillId="0" borderId="1" xfId="16" applyNumberFormat="1" applyFont="1" applyBorder="1" applyAlignment="1">
      <alignment horizontal="right" vertical="center" wrapText="1"/>
    </xf>
    <xf numFmtId="3" fontId="2" fillId="0" borderId="1" xfId="16" applyNumberFormat="1" applyFont="1" applyBorder="1" applyAlignment="1">
      <alignment horizontal="right" vertical="center" wrapText="1"/>
    </xf>
    <xf numFmtId="3" fontId="102" fillId="0" borderId="0" xfId="16" applyNumberFormat="1" applyFont="1" applyAlignment="1">
      <alignment vertical="center" wrapText="1"/>
    </xf>
    <xf numFmtId="0" fontId="58" fillId="0" borderId="0" xfId="16" applyAlignment="1">
      <alignment horizontal="center" vertical="center" wrapText="1"/>
    </xf>
    <xf numFmtId="165" fontId="45" fillId="3" borderId="11" xfId="13" applyNumberFormat="1" applyFont="1" applyFill="1" applyBorder="1" applyAlignment="1">
      <alignment horizontal="right" vertical="center"/>
    </xf>
    <xf numFmtId="165" fontId="29" fillId="3" borderId="11" xfId="13" applyNumberFormat="1" applyFont="1" applyFill="1" applyBorder="1" applyAlignment="1">
      <alignment horizontal="right" vertical="center"/>
    </xf>
    <xf numFmtId="165" fontId="56" fillId="3" borderId="11" xfId="13" applyNumberFormat="1" applyFont="1" applyFill="1" applyBorder="1" applyAlignment="1">
      <alignment horizontal="center" vertical="center"/>
    </xf>
    <xf numFmtId="0" fontId="105" fillId="2" borderId="0" xfId="4" applyFont="1" applyFill="1"/>
    <xf numFmtId="0" fontId="27" fillId="2" borderId="0" xfId="4" applyFont="1" applyFill="1"/>
    <xf numFmtId="0" fontId="105" fillId="2" borderId="0" xfId="4" applyFont="1" applyFill="1" applyAlignment="1">
      <alignment horizontal="center"/>
    </xf>
    <xf numFmtId="0" fontId="106" fillId="2" borderId="0" xfId="4" applyFont="1" applyFill="1" applyAlignment="1">
      <alignment horizontal="center"/>
    </xf>
    <xf numFmtId="0" fontId="106" fillId="2" borderId="0" xfId="4" applyFont="1" applyFill="1"/>
    <xf numFmtId="0" fontId="106" fillId="2" borderId="0" xfId="4" applyFont="1" applyFill="1" applyAlignment="1">
      <alignment horizontal="right"/>
    </xf>
    <xf numFmtId="0" fontId="24" fillId="2" borderId="0" xfId="4" applyFont="1" applyFill="1" applyAlignment="1">
      <alignment horizontal="center" vertical="center"/>
    </xf>
    <xf numFmtId="165" fontId="106" fillId="2" borderId="0" xfId="1" applyNumberFormat="1" applyFont="1" applyFill="1" applyAlignment="1">
      <alignment horizontal="right"/>
    </xf>
    <xf numFmtId="165" fontId="106" fillId="2" borderId="0" xfId="1" applyNumberFormat="1" applyFont="1" applyFill="1" applyAlignment="1">
      <alignment horizontal="center"/>
    </xf>
    <xf numFmtId="0" fontId="107" fillId="2" borderId="0" xfId="4" applyFont="1" applyFill="1" applyAlignment="1">
      <alignment horizontal="right"/>
    </xf>
    <xf numFmtId="0" fontId="54" fillId="2" borderId="0" xfId="10" applyFont="1" applyFill="1"/>
    <xf numFmtId="0" fontId="108" fillId="2" borderId="0" xfId="4" applyFont="1" applyFill="1"/>
    <xf numFmtId="0" fontId="25" fillId="2" borderId="0" xfId="4" applyFont="1" applyFill="1"/>
    <xf numFmtId="0" fontId="108" fillId="2" borderId="0" xfId="4" applyFont="1" applyFill="1" applyAlignment="1">
      <alignment horizontal="center"/>
    </xf>
    <xf numFmtId="0" fontId="3" fillId="2" borderId="0" xfId="4" applyFont="1" applyFill="1" applyAlignment="1">
      <alignment horizontal="right"/>
    </xf>
    <xf numFmtId="165" fontId="3" fillId="2" borderId="0" xfId="1" applyNumberFormat="1" applyFont="1" applyFill="1" applyAlignment="1">
      <alignment horizontal="right"/>
    </xf>
    <xf numFmtId="165" fontId="3" fillId="2" borderId="0" xfId="1" applyNumberFormat="1" applyFont="1" applyFill="1" applyAlignment="1">
      <alignment horizontal="center"/>
    </xf>
    <xf numFmtId="0" fontId="109" fillId="2" borderId="0" xfId="4" applyFont="1" applyFill="1" applyAlignment="1">
      <alignment horizontal="right"/>
    </xf>
    <xf numFmtId="0" fontId="3" fillId="2" borderId="0" xfId="4" applyFont="1" applyFill="1"/>
    <xf numFmtId="0" fontId="3" fillId="2" borderId="0" xfId="4" applyFont="1" applyFill="1" applyAlignment="1">
      <alignment horizontal="left"/>
    </xf>
    <xf numFmtId="0" fontId="4" fillId="2" borderId="0" xfId="10" applyFont="1" applyFill="1"/>
    <xf numFmtId="0" fontId="106" fillId="2" borderId="0" xfId="4" applyFont="1" applyFill="1" applyAlignment="1">
      <alignment horizontal="left"/>
    </xf>
    <xf numFmtId="0" fontId="95" fillId="0" borderId="20" xfId="19" applyFont="1" applyBorder="1" applyAlignment="1">
      <alignment vertical="center" wrapText="1"/>
    </xf>
    <xf numFmtId="165" fontId="3" fillId="0" borderId="1" xfId="20" applyNumberFormat="1" applyFont="1" applyBorder="1" applyAlignment="1">
      <alignment vertical="center" wrapText="1"/>
    </xf>
    <xf numFmtId="165" fontId="6" fillId="0" borderId="16" xfId="20" applyNumberFormat="1" applyFont="1" applyBorder="1" applyAlignment="1">
      <alignment vertical="center" wrapText="1"/>
    </xf>
    <xf numFmtId="166" fontId="6" fillId="2" borderId="11" xfId="8" applyNumberFormat="1" applyFont="1" applyFill="1" applyBorder="1" applyAlignment="1">
      <alignment horizontal="left" vertical="center" wrapText="1"/>
    </xf>
    <xf numFmtId="166" fontId="6" fillId="2" borderId="11" xfId="8" applyNumberFormat="1" applyFont="1" applyFill="1" applyBorder="1" applyAlignment="1">
      <alignment horizontal="center" vertical="center"/>
    </xf>
    <xf numFmtId="165" fontId="6" fillId="2" borderId="11" xfId="13" applyNumberFormat="1" applyFont="1" applyFill="1" applyBorder="1" applyAlignment="1">
      <alignment vertical="center"/>
    </xf>
    <xf numFmtId="166" fontId="6" fillId="2" borderId="11" xfId="8" applyNumberFormat="1" applyFont="1" applyFill="1" applyBorder="1" applyAlignment="1">
      <alignment vertical="center"/>
    </xf>
    <xf numFmtId="166" fontId="6" fillId="2" borderId="11" xfId="8" applyNumberFormat="1" applyFont="1" applyFill="1" applyBorder="1" applyAlignment="1">
      <alignment vertical="center" wrapText="1"/>
    </xf>
    <xf numFmtId="166" fontId="9" fillId="2" borderId="11" xfId="8" applyNumberFormat="1" applyFont="1" applyFill="1" applyBorder="1" applyAlignment="1">
      <alignment vertical="center"/>
    </xf>
    <xf numFmtId="166" fontId="9" fillId="2" borderId="11" xfId="8" applyNumberFormat="1" applyFont="1" applyFill="1" applyBorder="1" applyAlignment="1">
      <alignment horizontal="center" vertical="center" wrapText="1"/>
    </xf>
    <xf numFmtId="166" fontId="6" fillId="2" borderId="11" xfId="8" applyNumberFormat="1" applyFont="1" applyFill="1" applyBorder="1" applyAlignment="1">
      <alignment horizontal="center" vertical="center" wrapText="1"/>
    </xf>
    <xf numFmtId="165" fontId="6" fillId="2" borderId="11" xfId="8" applyNumberFormat="1" applyFont="1" applyFill="1" applyBorder="1" applyAlignment="1">
      <alignment vertical="center" wrapText="1"/>
    </xf>
    <xf numFmtId="0" fontId="6" fillId="2" borderId="11" xfId="0" applyFont="1" applyFill="1" applyBorder="1" applyAlignment="1">
      <alignment vertical="center" wrapText="1"/>
    </xf>
    <xf numFmtId="164" fontId="110" fillId="2" borderId="11" xfId="0" applyNumberFormat="1" applyFont="1" applyFill="1" applyBorder="1" applyAlignment="1">
      <alignment horizontal="center" vertical="center" wrapText="1"/>
    </xf>
    <xf numFmtId="166" fontId="11" fillId="2" borderId="11" xfId="8" applyNumberFormat="1" applyFont="1" applyFill="1" applyBorder="1" applyAlignment="1">
      <alignment vertical="center"/>
    </xf>
    <xf numFmtId="0" fontId="6" fillId="2" borderId="15" xfId="0" applyFont="1" applyFill="1" applyBorder="1" applyAlignment="1">
      <alignment vertical="center" wrapText="1"/>
    </xf>
    <xf numFmtId="166" fontId="6" fillId="2" borderId="15" xfId="8" applyNumberFormat="1" applyFont="1" applyFill="1" applyBorder="1" applyAlignment="1">
      <alignment horizontal="center" vertical="center" wrapText="1"/>
    </xf>
    <xf numFmtId="165" fontId="6" fillId="2" borderId="15" xfId="8" applyNumberFormat="1" applyFont="1" applyFill="1" applyBorder="1" applyAlignment="1">
      <alignment vertical="center" wrapText="1"/>
    </xf>
    <xf numFmtId="166" fontId="6" fillId="2" borderId="16" xfId="8" applyNumberFormat="1" applyFont="1" applyFill="1" applyBorder="1" applyAlignment="1">
      <alignment horizontal="center" vertical="center" wrapText="1"/>
    </xf>
    <xf numFmtId="165" fontId="6" fillId="2" borderId="16" xfId="8" applyNumberFormat="1" applyFont="1" applyFill="1" applyBorder="1" applyAlignment="1">
      <alignment vertical="center" wrapText="1"/>
    </xf>
    <xf numFmtId="165" fontId="43" fillId="2" borderId="1" xfId="6" applyNumberFormat="1" applyFont="1" applyFill="1" applyBorder="1" applyAlignment="1">
      <alignment horizontal="right" vertical="center" wrapText="1"/>
    </xf>
    <xf numFmtId="165" fontId="46" fillId="3" borderId="11" xfId="13" applyNumberFormat="1" applyFont="1" applyFill="1" applyBorder="1" applyAlignment="1">
      <alignment horizontal="right" vertical="center"/>
    </xf>
    <xf numFmtId="0" fontId="2" fillId="2" borderId="0" xfId="0" applyFont="1" applyFill="1" applyAlignment="1">
      <alignment wrapText="1"/>
    </xf>
    <xf numFmtId="0" fontId="50" fillId="2" borderId="0" xfId="0" applyFont="1" applyFill="1"/>
    <xf numFmtId="165" fontId="50" fillId="2" borderId="0" xfId="0" applyNumberFormat="1" applyFont="1" applyFill="1"/>
    <xf numFmtId="165" fontId="2" fillId="2" borderId="0" xfId="0" applyNumberFormat="1" applyFont="1" applyFill="1" applyAlignment="1">
      <alignment vertical="center"/>
    </xf>
    <xf numFmtId="0" fontId="3" fillId="2" borderId="1" xfId="4" applyFont="1" applyFill="1" applyBorder="1" applyAlignment="1">
      <alignment vertical="center" wrapText="1"/>
    </xf>
    <xf numFmtId="166" fontId="6" fillId="2" borderId="16" xfId="8" applyNumberFormat="1" applyFont="1" applyFill="1" applyBorder="1" applyAlignment="1">
      <alignment vertical="center" wrapText="1"/>
    </xf>
    <xf numFmtId="0" fontId="6" fillId="2" borderId="16" xfId="0" applyFont="1" applyFill="1" applyBorder="1" applyAlignment="1">
      <alignment vertical="center" wrapText="1"/>
    </xf>
    <xf numFmtId="166" fontId="61" fillId="2" borderId="16" xfId="8" applyNumberFormat="1" applyFont="1" applyFill="1" applyBorder="1" applyAlignment="1">
      <alignment vertical="center" wrapText="1"/>
    </xf>
    <xf numFmtId="164" fontId="110" fillId="2" borderId="16" xfId="0" applyNumberFormat="1" applyFont="1" applyFill="1" applyBorder="1" applyAlignment="1">
      <alignment horizontal="center" vertical="center" wrapText="1"/>
    </xf>
    <xf numFmtId="0" fontId="50" fillId="2" borderId="20" xfId="0" applyFont="1" applyFill="1" applyBorder="1" applyAlignment="1">
      <alignment horizontal="center" vertical="center"/>
    </xf>
    <xf numFmtId="0" fontId="6" fillId="2" borderId="20" xfId="0" applyFont="1" applyFill="1" applyBorder="1" applyAlignment="1">
      <alignment vertical="center" wrapText="1"/>
    </xf>
    <xf numFmtId="166" fontId="6" fillId="2" borderId="20" xfId="8" applyNumberFormat="1" applyFont="1" applyFill="1" applyBorder="1" applyAlignment="1">
      <alignment horizontal="center" vertical="center" wrapText="1"/>
    </xf>
    <xf numFmtId="165" fontId="6" fillId="2" borderId="20" xfId="8" applyNumberFormat="1" applyFont="1" applyFill="1" applyBorder="1" applyAlignment="1">
      <alignment vertical="center" wrapText="1"/>
    </xf>
    <xf numFmtId="166" fontId="61" fillId="2" borderId="20" xfId="8" applyNumberFormat="1" applyFont="1" applyFill="1" applyBorder="1" applyAlignment="1">
      <alignment vertical="center" wrapText="1"/>
    </xf>
    <xf numFmtId="166" fontId="50" fillId="2" borderId="20" xfId="8" applyNumberFormat="1" applyFont="1" applyFill="1" applyBorder="1" applyAlignment="1">
      <alignment vertical="center"/>
    </xf>
    <xf numFmtId="164" fontId="110" fillId="2" borderId="20" xfId="0" applyNumberFormat="1" applyFont="1" applyFill="1" applyBorder="1" applyAlignment="1">
      <alignment horizontal="center" vertical="center" wrapText="1"/>
    </xf>
    <xf numFmtId="166" fontId="50" fillId="2" borderId="15" xfId="8" applyNumberFormat="1" applyFont="1" applyFill="1" applyBorder="1" applyAlignment="1">
      <alignment vertical="center" wrapText="1"/>
    </xf>
    <xf numFmtId="166" fontId="11" fillId="2" borderId="15" xfId="8" applyNumberFormat="1" applyFont="1" applyFill="1" applyBorder="1" applyAlignment="1">
      <alignment vertical="center"/>
    </xf>
    <xf numFmtId="166" fontId="94" fillId="3" borderId="0" xfId="1" applyNumberFormat="1" applyFont="1" applyFill="1"/>
    <xf numFmtId="0" fontId="97" fillId="0" borderId="8" xfId="19" applyFont="1" applyBorder="1" applyAlignment="1">
      <alignment vertical="center"/>
    </xf>
    <xf numFmtId="166" fontId="54" fillId="0" borderId="1" xfId="20" applyNumberFormat="1" applyFont="1" applyBorder="1" applyAlignment="1">
      <alignment horizontal="center" vertical="center" wrapText="1"/>
    </xf>
    <xf numFmtId="3" fontId="2" fillId="4" borderId="1" xfId="17" applyNumberFormat="1" applyFont="1" applyFill="1" applyBorder="1" applyAlignment="1">
      <alignment horizontal="right" vertical="center" wrapText="1"/>
    </xf>
    <xf numFmtId="165" fontId="25" fillId="2" borderId="0" xfId="1" applyNumberFormat="1" applyFont="1" applyFill="1" applyAlignment="1">
      <alignment horizontal="right"/>
    </xf>
    <xf numFmtId="0" fontId="0" fillId="2" borderId="0" xfId="0" applyFill="1" applyAlignment="1">
      <alignment horizontal="right" vertical="center"/>
    </xf>
    <xf numFmtId="9" fontId="6" fillId="2" borderId="16" xfId="3" applyFont="1" applyFill="1" applyBorder="1" applyAlignment="1">
      <alignment horizontal="right" vertical="center"/>
    </xf>
    <xf numFmtId="9" fontId="6" fillId="2" borderId="11" xfId="3" applyFont="1" applyFill="1" applyBorder="1" applyAlignment="1">
      <alignment horizontal="right" vertical="center"/>
    </xf>
    <xf numFmtId="9" fontId="50" fillId="2" borderId="11" xfId="3" applyFont="1" applyFill="1" applyBorder="1" applyAlignment="1">
      <alignment horizontal="right" vertical="center" wrapText="1"/>
    </xf>
    <xf numFmtId="9" fontId="6" fillId="2" borderId="11" xfId="3" applyFont="1" applyFill="1" applyBorder="1" applyAlignment="1">
      <alignment horizontal="right" vertical="center" wrapText="1"/>
    </xf>
    <xf numFmtId="9" fontId="50" fillId="2" borderId="15" xfId="3" applyFont="1" applyFill="1" applyBorder="1" applyAlignment="1">
      <alignment horizontal="right" vertical="center" wrapText="1"/>
    </xf>
    <xf numFmtId="9" fontId="61" fillId="2" borderId="16" xfId="3" applyFont="1" applyFill="1" applyBorder="1" applyAlignment="1">
      <alignment horizontal="right" vertical="center" wrapText="1"/>
    </xf>
    <xf numFmtId="9" fontId="50" fillId="2" borderId="20" xfId="3" applyFont="1" applyFill="1" applyBorder="1" applyAlignment="1">
      <alignment horizontal="right" vertical="center" wrapText="1"/>
    </xf>
    <xf numFmtId="9" fontId="6" fillId="2" borderId="15" xfId="3" applyFont="1" applyFill="1" applyBorder="1" applyAlignment="1">
      <alignment horizontal="right" vertical="center"/>
    </xf>
    <xf numFmtId="0" fontId="2" fillId="2" borderId="1" xfId="0" applyFont="1" applyFill="1" applyBorder="1" applyAlignment="1">
      <alignment horizontal="right" vertical="center"/>
    </xf>
    <xf numFmtId="0" fontId="0" fillId="2" borderId="0" xfId="0" applyFill="1" applyAlignment="1">
      <alignment horizontal="right"/>
    </xf>
    <xf numFmtId="166" fontId="6" fillId="2" borderId="14" xfId="8" applyNumberFormat="1" applyFont="1" applyFill="1" applyBorder="1" applyAlignment="1">
      <alignment vertical="center" wrapText="1"/>
    </xf>
    <xf numFmtId="166" fontId="6" fillId="2" borderId="14" xfId="8" applyNumberFormat="1" applyFont="1" applyFill="1" applyBorder="1" applyAlignment="1">
      <alignment horizontal="center" vertical="center" wrapText="1"/>
    </xf>
    <xf numFmtId="165" fontId="6" fillId="2" borderId="14" xfId="8" applyNumberFormat="1" applyFont="1" applyFill="1" applyBorder="1" applyAlignment="1">
      <alignment vertical="center" wrapText="1"/>
    </xf>
    <xf numFmtId="0" fontId="6" fillId="2" borderId="15" xfId="0" applyFont="1" applyFill="1" applyBorder="1" applyAlignment="1">
      <alignment horizontal="left" vertical="center" wrapText="1"/>
    </xf>
    <xf numFmtId="166" fontId="11" fillId="2" borderId="14" xfId="8" applyNumberFormat="1" applyFont="1" applyFill="1" applyBorder="1" applyAlignment="1">
      <alignment vertical="center"/>
    </xf>
    <xf numFmtId="164" fontId="9" fillId="2" borderId="15" xfId="0" applyNumberFormat="1" applyFont="1" applyFill="1" applyBorder="1" applyAlignment="1">
      <alignment horizontal="center" vertical="center" wrapText="1"/>
    </xf>
    <xf numFmtId="0" fontId="25" fillId="2" borderId="5" xfId="4" applyFont="1" applyFill="1" applyBorder="1" applyAlignment="1">
      <alignment horizontal="center" vertical="center" wrapText="1"/>
    </xf>
    <xf numFmtId="9" fontId="15" fillId="0" borderId="1" xfId="3" applyFont="1" applyBorder="1" applyAlignment="1">
      <alignment horizontal="center" vertical="center" wrapText="1"/>
    </xf>
    <xf numFmtId="9" fontId="112" fillId="0" borderId="1" xfId="3" applyFont="1" applyBorder="1" applyAlignment="1">
      <alignment horizontal="center" vertical="center"/>
    </xf>
    <xf numFmtId="9" fontId="0" fillId="0" borderId="0" xfId="3" applyFont="1" applyAlignment="1">
      <alignment horizontal="center" vertical="center"/>
    </xf>
    <xf numFmtId="0" fontId="111" fillId="0" borderId="0" xfId="0" applyFont="1"/>
    <xf numFmtId="9" fontId="92" fillId="2" borderId="1" xfId="3" applyFont="1" applyFill="1" applyBorder="1" applyAlignment="1">
      <alignment vertical="center" wrapText="1"/>
    </xf>
    <xf numFmtId="9" fontId="26" fillId="2" borderId="1" xfId="3" applyFont="1" applyFill="1" applyBorder="1" applyAlignment="1">
      <alignment vertical="center" wrapText="1"/>
    </xf>
    <xf numFmtId="9" fontId="113" fillId="2" borderId="1" xfId="3" applyFont="1" applyFill="1" applyBorder="1" applyAlignment="1">
      <alignment vertical="center" wrapText="1"/>
    </xf>
    <xf numFmtId="0" fontId="114" fillId="0" borderId="0" xfId="0" applyFont="1"/>
    <xf numFmtId="167" fontId="24" fillId="2" borderId="0" xfId="4" applyNumberFormat="1" applyFont="1" applyFill="1" applyAlignment="1">
      <alignment horizontal="right"/>
    </xf>
    <xf numFmtId="165" fontId="49" fillId="3" borderId="1" xfId="13" applyNumberFormat="1" applyFont="1" applyFill="1" applyBorder="1" applyAlignment="1" applyProtection="1">
      <alignment horizontal="right" vertical="center"/>
    </xf>
    <xf numFmtId="0" fontId="50" fillId="0" borderId="11" xfId="19" applyFont="1" applyBorder="1" applyAlignment="1">
      <alignment vertical="center" wrapText="1"/>
    </xf>
    <xf numFmtId="0" fontId="10" fillId="2" borderId="1" xfId="4" applyFont="1" applyFill="1" applyBorder="1" applyAlignment="1">
      <alignment horizontal="center" vertical="center" wrapText="1"/>
    </xf>
    <xf numFmtId="0" fontId="10" fillId="2" borderId="2" xfId="4" applyFont="1" applyFill="1" applyBorder="1" applyAlignment="1">
      <alignment horizontal="center" vertical="center" wrapText="1"/>
    </xf>
    <xf numFmtId="0" fontId="10" fillId="2" borderId="9"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31" fillId="2" borderId="3" xfId="4" applyFont="1" applyFill="1" applyBorder="1" applyAlignment="1">
      <alignment horizontal="center" vertical="center" wrapText="1"/>
    </xf>
    <xf numFmtId="0" fontId="31" fillId="2" borderId="8" xfId="4" applyFont="1" applyFill="1" applyBorder="1" applyAlignment="1">
      <alignment horizontal="center" vertical="center" wrapText="1"/>
    </xf>
    <xf numFmtId="0" fontId="31" fillId="2" borderId="4" xfId="4" applyFont="1" applyFill="1" applyBorder="1" applyAlignment="1">
      <alignment horizontal="center" vertical="center" wrapText="1"/>
    </xf>
    <xf numFmtId="0" fontId="31" fillId="2" borderId="1" xfId="4" applyFont="1" applyFill="1" applyBorder="1" applyAlignment="1">
      <alignment horizontal="center" vertical="center" wrapText="1"/>
    </xf>
    <xf numFmtId="0" fontId="15" fillId="2" borderId="3" xfId="5" applyFont="1" applyFill="1" applyBorder="1" applyAlignment="1">
      <alignment horizontal="center" vertical="center" wrapText="1"/>
    </xf>
    <xf numFmtId="0" fontId="15" fillId="2" borderId="8" xfId="5" applyFont="1" applyFill="1" applyBorder="1" applyAlignment="1">
      <alignment horizontal="center" vertical="center" wrapText="1"/>
    </xf>
    <xf numFmtId="0" fontId="15" fillId="2" borderId="4" xfId="5" applyFont="1" applyFill="1" applyBorder="1" applyAlignment="1">
      <alignment horizontal="center" vertical="center" wrapText="1"/>
    </xf>
    <xf numFmtId="165" fontId="10" fillId="2" borderId="2" xfId="1" applyNumberFormat="1" applyFont="1" applyFill="1" applyBorder="1" applyAlignment="1">
      <alignment horizontal="center" vertical="center" wrapText="1"/>
    </xf>
    <xf numFmtId="165" fontId="10" fillId="2" borderId="5" xfId="1" applyNumberFormat="1" applyFont="1" applyFill="1" applyBorder="1" applyAlignment="1">
      <alignment horizontal="center" vertical="center" wrapText="1"/>
    </xf>
    <xf numFmtId="0" fontId="15" fillId="2" borderId="1" xfId="4" applyFont="1" applyFill="1" applyBorder="1" applyAlignment="1">
      <alignment horizontal="center" vertical="center" wrapText="1"/>
    </xf>
    <xf numFmtId="0" fontId="25" fillId="2" borderId="3" xfId="4" applyFont="1" applyFill="1" applyBorder="1" applyAlignment="1">
      <alignment horizontal="center" vertical="center" wrapText="1"/>
    </xf>
    <xf numFmtId="0" fontId="25" fillId="2" borderId="4" xfId="4" applyFont="1" applyFill="1" applyBorder="1" applyAlignment="1">
      <alignment horizontal="center" vertical="center" wrapText="1"/>
    </xf>
    <xf numFmtId="1" fontId="42" fillId="2" borderId="1" xfId="0" applyNumberFormat="1" applyFont="1" applyFill="1" applyBorder="1" applyAlignment="1">
      <alignment horizontal="center" vertical="center"/>
    </xf>
    <xf numFmtId="164" fontId="42" fillId="2" borderId="1" xfId="0" applyNumberFormat="1" applyFont="1" applyFill="1" applyBorder="1" applyAlignment="1">
      <alignment horizontal="center" vertical="center"/>
    </xf>
    <xf numFmtId="0" fontId="25" fillId="2" borderId="5" xfId="4" applyFont="1" applyFill="1" applyBorder="1" applyAlignment="1">
      <alignment horizontal="center" vertical="center" wrapText="1"/>
    </xf>
    <xf numFmtId="0" fontId="25" fillId="2" borderId="1" xfId="4" applyFont="1" applyFill="1" applyBorder="1" applyAlignment="1">
      <alignment horizontal="center" vertical="center" wrapText="1"/>
    </xf>
    <xf numFmtId="1" fontId="32" fillId="2" borderId="1" xfId="0" applyNumberFormat="1" applyFont="1" applyFill="1" applyBorder="1" applyAlignment="1">
      <alignment horizontal="center" vertical="center"/>
    </xf>
    <xf numFmtId="164" fontId="32" fillId="2" borderId="1" xfId="0" applyNumberFormat="1" applyFont="1" applyFill="1" applyBorder="1" applyAlignment="1">
      <alignment horizontal="center" vertical="center"/>
    </xf>
    <xf numFmtId="0" fontId="31" fillId="2" borderId="2" xfId="4" applyFont="1" applyFill="1" applyBorder="1" applyAlignment="1">
      <alignment horizontal="center" vertical="center" wrapText="1"/>
    </xf>
    <xf numFmtId="0" fontId="31" fillId="2" borderId="9" xfId="4" applyFont="1" applyFill="1" applyBorder="1" applyAlignment="1">
      <alignment horizontal="center" vertical="center" wrapText="1"/>
    </xf>
    <xf numFmtId="0" fontId="31" fillId="2" borderId="5" xfId="4" applyFont="1" applyFill="1" applyBorder="1" applyAlignment="1">
      <alignment horizontal="center" vertical="center" wrapText="1"/>
    </xf>
    <xf numFmtId="164" fontId="32" fillId="2" borderId="1" xfId="0" applyNumberFormat="1" applyFont="1" applyFill="1" applyBorder="1" applyAlignment="1">
      <alignment horizontal="right" vertical="center"/>
    </xf>
    <xf numFmtId="1" fontId="11" fillId="2" borderId="1" xfId="0" applyNumberFormat="1" applyFont="1" applyFill="1" applyBorder="1" applyAlignment="1">
      <alignment horizontal="center" vertical="center"/>
    </xf>
    <xf numFmtId="164" fontId="11" fillId="2" borderId="1" xfId="0" applyNumberFormat="1" applyFont="1" applyFill="1" applyBorder="1" applyAlignment="1">
      <alignment horizontal="right" vertical="center"/>
    </xf>
    <xf numFmtId="2" fontId="11" fillId="2" borderId="1" xfId="0" applyNumberFormat="1" applyFont="1" applyFill="1" applyBorder="1" applyAlignment="1">
      <alignment horizontal="center" vertical="center" wrapText="1"/>
    </xf>
    <xf numFmtId="2" fontId="11" fillId="2" borderId="1" xfId="0" applyNumberFormat="1" applyFont="1" applyFill="1" applyBorder="1" applyAlignment="1">
      <alignment horizontal="center" vertical="center"/>
    </xf>
    <xf numFmtId="166" fontId="22" fillId="2" borderId="1" xfId="9" applyNumberFormat="1" applyFont="1" applyFill="1" applyBorder="1" applyAlignment="1">
      <alignment horizontal="center" vertical="center"/>
    </xf>
    <xf numFmtId="0" fontId="15" fillId="2" borderId="5" xfId="4" applyFont="1" applyFill="1" applyBorder="1" applyAlignment="1">
      <alignment horizontal="center" vertical="center" wrapText="1"/>
    </xf>
    <xf numFmtId="166" fontId="49" fillId="2" borderId="1" xfId="9" applyNumberFormat="1" applyFont="1" applyFill="1" applyBorder="1" applyAlignment="1">
      <alignment horizontal="center" vertical="center"/>
    </xf>
    <xf numFmtId="9" fontId="31" fillId="2" borderId="8" xfId="3" applyFont="1" applyFill="1" applyBorder="1" applyAlignment="1">
      <alignment horizontal="center" vertical="center" wrapText="1"/>
    </xf>
    <xf numFmtId="0" fontId="53" fillId="2" borderId="0" xfId="0" applyFont="1" applyFill="1" applyAlignment="1">
      <alignment horizontal="center" vertical="center" wrapText="1"/>
    </xf>
    <xf numFmtId="0" fontId="54" fillId="2" borderId="0" xfId="4" applyFont="1" applyFill="1" applyAlignment="1">
      <alignment horizontal="center" vertical="center"/>
    </xf>
    <xf numFmtId="164" fontId="52" fillId="2" borderId="1" xfId="0" applyNumberFormat="1" applyFont="1" applyFill="1" applyBorder="1" applyAlignment="1">
      <alignment horizontal="center" vertical="center" wrapText="1"/>
    </xf>
    <xf numFmtId="167" fontId="16" fillId="2" borderId="0" xfId="4" applyNumberFormat="1" applyFont="1" applyFill="1" applyAlignment="1">
      <alignment horizontal="center"/>
    </xf>
    <xf numFmtId="0" fontId="54" fillId="2" borderId="0" xfId="10" applyFont="1" applyFill="1" applyAlignment="1">
      <alignment horizontal="center"/>
    </xf>
    <xf numFmtId="0" fontId="3" fillId="2" borderId="0" xfId="4" applyFont="1" applyFill="1" applyAlignment="1">
      <alignment horizontal="center"/>
    </xf>
    <xf numFmtId="0" fontId="3" fillId="2" borderId="0" xfId="10" applyFont="1" applyFill="1" applyAlignment="1">
      <alignment horizontal="center"/>
    </xf>
    <xf numFmtId="0" fontId="3" fillId="2" borderId="0" xfId="4" applyFont="1" applyFill="1" applyAlignment="1">
      <alignment horizontal="center" wrapText="1"/>
    </xf>
    <xf numFmtId="0" fontId="93" fillId="2" borderId="0" xfId="0" applyFont="1" applyFill="1" applyAlignment="1">
      <alignment horizontal="center" wrapText="1"/>
    </xf>
    <xf numFmtId="165" fontId="50" fillId="2" borderId="10" xfId="0" applyNumberFormat="1" applyFont="1" applyFill="1" applyBorder="1" applyAlignment="1">
      <alignment horizontal="center"/>
    </xf>
    <xf numFmtId="0" fontId="3" fillId="0" borderId="3" xfId="18" applyFont="1" applyBorder="1" applyAlignment="1">
      <alignment horizontal="center" vertical="center" wrapText="1"/>
    </xf>
    <xf numFmtId="0" fontId="3" fillId="0" borderId="4" xfId="18" applyFont="1" applyBorder="1" applyAlignment="1">
      <alignment horizontal="center" vertical="center" wrapText="1"/>
    </xf>
    <xf numFmtId="0" fontId="33" fillId="0" borderId="0" xfId="18" applyFont="1" applyAlignment="1">
      <alignment horizontal="center" vertical="center" wrapText="1"/>
    </xf>
    <xf numFmtId="0" fontId="60" fillId="0" borderId="0" xfId="18" applyFont="1" applyAlignment="1">
      <alignment horizontal="center" vertical="center"/>
    </xf>
    <xf numFmtId="0" fontId="54" fillId="0" borderId="6" xfId="18" applyFont="1" applyBorder="1" applyAlignment="1">
      <alignment horizontal="right" vertical="center"/>
    </xf>
    <xf numFmtId="0" fontId="3" fillId="0" borderId="1" xfId="18" applyFont="1" applyBorder="1" applyAlignment="1">
      <alignment horizontal="center" vertical="center" wrapText="1"/>
    </xf>
    <xf numFmtId="3" fontId="3" fillId="0" borderId="2" xfId="18" applyNumberFormat="1" applyFont="1" applyBorder="1" applyAlignment="1">
      <alignment horizontal="center" vertical="center" wrapText="1"/>
    </xf>
    <xf numFmtId="3" fontId="3" fillId="0" borderId="5" xfId="18" applyNumberFormat="1" applyFont="1" applyBorder="1" applyAlignment="1">
      <alignment horizontal="center" vertical="center" wrapText="1"/>
    </xf>
    <xf numFmtId="166" fontId="3" fillId="0" borderId="1" xfId="8" applyNumberFormat="1" applyFont="1" applyBorder="1" applyAlignment="1">
      <alignment horizontal="center" vertical="center" wrapText="1"/>
    </xf>
    <xf numFmtId="166" fontId="3" fillId="0" borderId="1" xfId="20" applyNumberFormat="1" applyFont="1" applyBorder="1" applyAlignment="1">
      <alignment vertical="center" wrapText="1"/>
    </xf>
    <xf numFmtId="0" fontId="103" fillId="0" borderId="0" xfId="16" applyFont="1" applyAlignment="1">
      <alignment horizontal="center" vertical="center" wrapText="1"/>
    </xf>
    <xf numFmtId="0" fontId="101" fillId="0" borderId="0" xfId="16" applyFont="1" applyAlignment="1">
      <alignment horizontal="center" vertical="center" wrapText="1"/>
    </xf>
    <xf numFmtId="0" fontId="2" fillId="0" borderId="2" xfId="16" applyFont="1" applyBorder="1" applyAlignment="1">
      <alignment horizontal="center" vertical="center" wrapText="1"/>
    </xf>
    <xf numFmtId="0" fontId="2" fillId="0" borderId="9" xfId="16" applyFont="1" applyBorder="1" applyAlignment="1">
      <alignment horizontal="center" vertical="center" wrapText="1"/>
    </xf>
    <xf numFmtId="0" fontId="2" fillId="0" borderId="5" xfId="16" applyFont="1" applyBorder="1" applyAlignment="1">
      <alignment horizontal="center" vertical="center" wrapText="1"/>
    </xf>
    <xf numFmtId="165" fontId="2" fillId="0" borderId="2" xfId="17" applyNumberFormat="1" applyFont="1" applyBorder="1" applyAlignment="1">
      <alignment horizontal="center" vertical="center" wrapText="1"/>
    </xf>
    <xf numFmtId="165" fontId="2" fillId="0" borderId="9" xfId="17" applyNumberFormat="1" applyFont="1" applyBorder="1" applyAlignment="1">
      <alignment horizontal="center" vertical="center" wrapText="1"/>
    </xf>
    <xf numFmtId="165" fontId="2" fillId="0" borderId="5" xfId="17" applyNumberFormat="1" applyFont="1" applyBorder="1" applyAlignment="1">
      <alignment horizontal="center" vertical="center" wrapText="1"/>
    </xf>
    <xf numFmtId="165" fontId="2" fillId="0" borderId="3" xfId="17" applyNumberFormat="1" applyFont="1" applyBorder="1" applyAlignment="1">
      <alignment horizontal="center" vertical="center" wrapText="1"/>
    </xf>
    <xf numFmtId="165" fontId="2" fillId="0" borderId="4" xfId="17" applyNumberFormat="1" applyFont="1" applyBorder="1" applyAlignment="1">
      <alignment horizontal="center" vertical="center" wrapText="1"/>
    </xf>
    <xf numFmtId="0" fontId="2" fillId="0" borderId="3" xfId="16" applyFont="1" applyBorder="1" applyAlignment="1">
      <alignment horizontal="center" vertical="center" wrapText="1"/>
    </xf>
    <xf numFmtId="0" fontId="2" fillId="0" borderId="8" xfId="16" applyFont="1" applyBorder="1" applyAlignment="1">
      <alignment horizontal="center" vertical="center" wrapText="1"/>
    </xf>
    <xf numFmtId="0" fontId="2" fillId="0" borderId="4" xfId="16" applyFont="1" applyBorder="1" applyAlignment="1">
      <alignment horizontal="center" vertical="center" wrapText="1"/>
    </xf>
    <xf numFmtId="165" fontId="13" fillId="0" borderId="2" xfId="17" applyNumberFormat="1" applyFont="1" applyBorder="1" applyAlignment="1">
      <alignment horizontal="center" vertical="center" wrapText="1"/>
    </xf>
    <xf numFmtId="165" fontId="13" fillId="0" borderId="5" xfId="17" applyNumberFormat="1" applyFont="1" applyBorder="1" applyAlignment="1">
      <alignment horizontal="center" vertical="center" wrapText="1"/>
    </xf>
    <xf numFmtId="0" fontId="13" fillId="0" borderId="2" xfId="16" applyFont="1" applyBorder="1" applyAlignment="1">
      <alignment horizontal="center" vertical="center" wrapText="1"/>
    </xf>
    <xf numFmtId="0" fontId="13" fillId="0" borderId="5" xfId="16" applyFont="1" applyBorder="1" applyAlignment="1">
      <alignment horizontal="center" vertical="center" wrapText="1"/>
    </xf>
    <xf numFmtId="0" fontId="33" fillId="2" borderId="0" xfId="0" applyFont="1" applyFill="1" applyAlignment="1">
      <alignment horizontal="center" vertical="center"/>
    </xf>
    <xf numFmtId="0" fontId="60" fillId="2" borderId="0" xfId="0" applyFont="1" applyFill="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0" fillId="2" borderId="1" xfId="0" applyFont="1" applyFill="1" applyBorder="1" applyAlignment="1">
      <alignment horizontal="center" vertical="center" wrapText="1"/>
    </xf>
    <xf numFmtId="0" fontId="30" fillId="2" borderId="2" xfId="0" applyFont="1" applyFill="1" applyBorder="1" applyAlignment="1">
      <alignment horizontal="center" vertical="center" wrapText="1"/>
    </xf>
    <xf numFmtId="14" fontId="30" fillId="2" borderId="3" xfId="0" applyNumberFormat="1" applyFont="1" applyFill="1" applyBorder="1" applyAlignment="1">
      <alignment horizontal="center" vertical="center" wrapText="1"/>
    </xf>
    <xf numFmtId="14" fontId="30" fillId="2" borderId="8" xfId="0" applyNumberFormat="1" applyFont="1" applyFill="1" applyBorder="1" applyAlignment="1">
      <alignment horizontal="center" vertical="center" wrapText="1"/>
    </xf>
    <xf numFmtId="14" fontId="30" fillId="2" borderId="4" xfId="0" applyNumberFormat="1" applyFont="1" applyFill="1" applyBorder="1" applyAlignment="1">
      <alignment horizontal="center" vertical="center" wrapText="1"/>
    </xf>
    <xf numFmtId="14" fontId="30" fillId="2" borderId="1" xfId="0" applyNumberFormat="1" applyFont="1" applyFill="1" applyBorder="1" applyAlignment="1">
      <alignment horizontal="center" vertical="center" wrapText="1"/>
    </xf>
    <xf numFmtId="14" fontId="30" fillId="2" borderId="1" xfId="0" applyNumberFormat="1" applyFont="1" applyFill="1" applyBorder="1" applyAlignment="1">
      <alignment horizontal="center" vertical="center"/>
    </xf>
    <xf numFmtId="14" fontId="66" fillId="2" borderId="2" xfId="0" applyNumberFormat="1" applyFont="1" applyFill="1" applyBorder="1" applyAlignment="1">
      <alignment horizontal="center" vertical="center" wrapText="1"/>
    </xf>
    <xf numFmtId="14" fontId="66" fillId="2" borderId="5" xfId="0" applyNumberFormat="1" applyFont="1" applyFill="1" applyBorder="1" applyAlignment="1">
      <alignment horizontal="center" vertical="center"/>
    </xf>
    <xf numFmtId="164" fontId="4" fillId="2" borderId="16" xfId="0" applyNumberFormat="1" applyFont="1" applyFill="1" applyBorder="1" applyAlignment="1">
      <alignment horizontal="center" vertical="center" wrapText="1"/>
    </xf>
    <xf numFmtId="164" fontId="4" fillId="2" borderId="14" xfId="0" applyNumberFormat="1" applyFont="1" applyFill="1" applyBorder="1" applyAlignment="1">
      <alignment horizontal="center" vertical="center" wrapText="1"/>
    </xf>
    <xf numFmtId="1" fontId="45" fillId="2" borderId="11" xfId="0" applyNumberFormat="1" applyFont="1" applyFill="1" applyBorder="1" applyAlignment="1">
      <alignment horizontal="center" vertical="center"/>
    </xf>
    <xf numFmtId="164" fontId="45" fillId="2" borderId="11" xfId="0" applyNumberFormat="1" applyFont="1" applyFill="1" applyBorder="1" applyAlignment="1">
      <alignment horizontal="right" vertical="center"/>
    </xf>
    <xf numFmtId="167" fontId="42" fillId="2" borderId="11" xfId="0" applyNumberFormat="1" applyFont="1" applyFill="1" applyBorder="1" applyAlignment="1">
      <alignment horizontal="center" vertical="center"/>
    </xf>
    <xf numFmtId="164" fontId="30" fillId="2" borderId="2" xfId="0" applyNumberFormat="1" applyFont="1" applyFill="1" applyBorder="1" applyAlignment="1">
      <alignment horizontal="center" vertical="center" wrapText="1"/>
    </xf>
    <xf numFmtId="164" fontId="30" fillId="2" borderId="5" xfId="0" applyNumberFormat="1" applyFont="1" applyFill="1" applyBorder="1" applyAlignment="1">
      <alignment horizontal="center" vertical="center" wrapText="1"/>
    </xf>
    <xf numFmtId="164" fontId="30" fillId="2" borderId="3" xfId="0" applyNumberFormat="1" applyFont="1" applyFill="1" applyBorder="1" applyAlignment="1">
      <alignment horizontal="center" vertical="center" wrapText="1"/>
    </xf>
    <xf numFmtId="164" fontId="30" fillId="2" borderId="8" xfId="0" applyNumberFormat="1" applyFont="1" applyFill="1" applyBorder="1" applyAlignment="1">
      <alignment horizontal="center" vertical="center" wrapText="1"/>
    </xf>
    <xf numFmtId="164" fontId="30" fillId="2" borderId="4" xfId="0" applyNumberFormat="1" applyFont="1" applyFill="1" applyBorder="1" applyAlignment="1">
      <alignment horizontal="center" vertical="center" wrapText="1"/>
    </xf>
    <xf numFmtId="165" fontId="66" fillId="2" borderId="2" xfId="13" applyNumberFormat="1" applyFont="1" applyFill="1" applyBorder="1" applyAlignment="1" applyProtection="1">
      <alignment horizontal="center" vertical="center" wrapText="1"/>
    </xf>
    <xf numFmtId="165" fontId="66" fillId="2" borderId="5" xfId="13" applyNumberFormat="1" applyFont="1" applyFill="1" applyBorder="1" applyAlignment="1" applyProtection="1">
      <alignment horizontal="center" vertical="center" wrapText="1"/>
    </xf>
    <xf numFmtId="165" fontId="3" fillId="2" borderId="1" xfId="13" applyNumberFormat="1" applyFont="1" applyFill="1" applyBorder="1" applyAlignment="1" applyProtection="1">
      <alignment horizontal="center" vertical="center" wrapText="1"/>
    </xf>
    <xf numFmtId="165" fontId="3" fillId="2" borderId="2" xfId="13" applyNumberFormat="1" applyFont="1" applyFill="1" applyBorder="1" applyAlignment="1" applyProtection="1">
      <alignment horizontal="center" vertical="center" wrapText="1"/>
    </xf>
    <xf numFmtId="167" fontId="0" fillId="2" borderId="0" xfId="0" applyNumberFormat="1" applyFill="1" applyAlignment="1">
      <alignment horizontal="center" vertical="center"/>
    </xf>
    <xf numFmtId="0" fontId="0" fillId="2" borderId="0" xfId="0" applyFill="1" applyAlignment="1">
      <alignment horizontal="center" vertical="center"/>
    </xf>
    <xf numFmtId="164" fontId="45" fillId="2" borderId="11" xfId="0" applyNumberFormat="1" applyFont="1" applyFill="1" applyBorder="1" applyAlignment="1">
      <alignment horizontal="center" vertical="center"/>
    </xf>
    <xf numFmtId="165" fontId="8" fillId="2" borderId="0" xfId="13" applyNumberFormat="1" applyFont="1" applyFill="1" applyBorder="1" applyAlignment="1" applyProtection="1">
      <alignment horizontal="center" vertical="center" wrapText="1"/>
    </xf>
    <xf numFmtId="165" fontId="45" fillId="2" borderId="11" xfId="13" applyNumberFormat="1" applyFont="1" applyFill="1" applyBorder="1" applyAlignment="1">
      <alignment horizontal="right" vertical="center"/>
    </xf>
    <xf numFmtId="164" fontId="0" fillId="2" borderId="0" xfId="0" applyNumberFormat="1" applyFill="1" applyAlignment="1">
      <alignment horizontal="center"/>
    </xf>
    <xf numFmtId="167" fontId="0" fillId="2" borderId="0" xfId="0" applyNumberFormat="1" applyFill="1" applyAlignment="1">
      <alignment horizontal="center"/>
    </xf>
    <xf numFmtId="0" fontId="0" fillId="2" borderId="0" xfId="0" applyFill="1" applyAlignment="1">
      <alignment horizontal="center"/>
    </xf>
    <xf numFmtId="3" fontId="31" fillId="2" borderId="2" xfId="15" applyNumberFormat="1" applyFont="1" applyFill="1" applyBorder="1" applyAlignment="1">
      <alignment horizontal="left" vertical="center" wrapText="1"/>
    </xf>
    <xf numFmtId="3" fontId="31" fillId="2" borderId="9" xfId="15" applyNumberFormat="1" applyFont="1" applyFill="1" applyBorder="1" applyAlignment="1">
      <alignment horizontal="left" vertical="center" wrapText="1"/>
    </xf>
    <xf numFmtId="3" fontId="31" fillId="2" borderId="5" xfId="15" applyNumberFormat="1" applyFont="1" applyFill="1" applyBorder="1" applyAlignment="1">
      <alignment horizontal="left" vertical="center" wrapText="1"/>
    </xf>
    <xf numFmtId="0" fontId="10" fillId="2" borderId="0" xfId="4" applyFont="1" applyFill="1" applyAlignment="1">
      <alignment horizontal="center" wrapText="1"/>
    </xf>
    <xf numFmtId="0" fontId="54" fillId="2" borderId="6" xfId="4" applyFont="1" applyFill="1" applyBorder="1" applyAlignment="1">
      <alignment horizontal="center" vertical="center"/>
    </xf>
    <xf numFmtId="0" fontId="63" fillId="2" borderId="0" xfId="0" applyFont="1" applyFill="1" applyAlignment="1">
      <alignment horizontal="left" vertical="center" wrapText="1"/>
    </xf>
    <xf numFmtId="0" fontId="3" fillId="2" borderId="0" xfId="10" applyFont="1" applyFill="1" applyAlignment="1">
      <alignment horizontal="center" vertical="top" wrapText="1"/>
    </xf>
  </cellXfs>
  <cellStyles count="21">
    <cellStyle name="Comma" xfId="1" builtinId="3"/>
    <cellStyle name="Comma 10" xfId="6" xr:uid="{00000000-0005-0000-0000-000001000000}"/>
    <cellStyle name="Comma 2" xfId="2" xr:uid="{00000000-0005-0000-0000-000002000000}"/>
    <cellStyle name="Comma 2 2 3" xfId="8" xr:uid="{00000000-0005-0000-0000-000003000000}"/>
    <cellStyle name="Comma 3 40" xfId="9" xr:uid="{00000000-0005-0000-0000-000004000000}"/>
    <cellStyle name="Comma 4" xfId="13" xr:uid="{00000000-0005-0000-0000-000005000000}"/>
    <cellStyle name="Comma 5" xfId="17" xr:uid="{00000000-0005-0000-0000-000006000000}"/>
    <cellStyle name="Comma 6" xfId="7" xr:uid="{00000000-0005-0000-0000-000007000000}"/>
    <cellStyle name="Comma 7" xfId="20" xr:uid="{00000000-0005-0000-0000-000008000000}"/>
    <cellStyle name="Comma 70 2" xfId="12" xr:uid="{00000000-0005-0000-0000-000009000000}"/>
    <cellStyle name="Comma 72" xfId="11" xr:uid="{00000000-0005-0000-0000-00000A000000}"/>
    <cellStyle name="Normal" xfId="0" builtinId="0"/>
    <cellStyle name="Normal 2 2" xfId="10" xr:uid="{00000000-0005-0000-0000-00000C000000}"/>
    <cellStyle name="Normal 2 4" xfId="18" xr:uid="{00000000-0005-0000-0000-00000D000000}"/>
    <cellStyle name="Normal 4" xfId="14" xr:uid="{00000000-0005-0000-0000-00000E000000}"/>
    <cellStyle name="Normal 4 2 2" xfId="15" xr:uid="{00000000-0005-0000-0000-00000F000000}"/>
    <cellStyle name="Normal 5" xfId="16" xr:uid="{00000000-0005-0000-0000-000010000000}"/>
    <cellStyle name="Normal 7" xfId="19" xr:uid="{00000000-0005-0000-0000-000011000000}"/>
    <cellStyle name="Normal_PABT dat NN Ha Vi 1 2" xfId="5" xr:uid="{00000000-0005-0000-0000-000012000000}"/>
    <cellStyle name="Normal_PABT dat NN Ha Vi 1 2_TKDT thu hồi đợt 3 " xfId="4" xr:uid="{00000000-0005-0000-0000-000013000000}"/>
    <cellStyle name="Percent" xfId="3" builtinId="5"/>
  </cellStyles>
  <dxfs count="0"/>
  <tableStyles count="0" defaultTableStyle="TableStyleMedium2" defaultPivotStyle="PivotStyleLight16"/>
  <colors>
    <mruColors>
      <color rgb="FFFFFFCC"/>
      <color rgb="FF080C9C"/>
      <color rgb="FF0B10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RowHeight="15.7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O125"/>
  <sheetViews>
    <sheetView workbookViewId="0">
      <selection activeCell="A3" sqref="A3:AH3"/>
    </sheetView>
  </sheetViews>
  <sheetFormatPr defaultRowHeight="15.75" x14ac:dyDescent="0.25"/>
  <cols>
    <col min="1" max="1" width="2.875" bestFit="1" customWidth="1"/>
    <col min="2" max="2" width="14.625" customWidth="1"/>
    <col min="3" max="3" width="2.875" bestFit="1" customWidth="1"/>
    <col min="4" max="4" width="4.25" customWidth="1"/>
    <col min="5" max="5" width="6.875" bestFit="1" customWidth="1"/>
    <col min="6" max="6" width="7" customWidth="1"/>
    <col min="7" max="7" width="3.25" customWidth="1"/>
    <col min="8" max="8" width="4.125" bestFit="1" customWidth="1"/>
    <col min="9" max="9" width="7" bestFit="1" customWidth="1"/>
    <col min="10" max="10" width="4" bestFit="1" customWidth="1"/>
    <col min="11" max="11" width="6.125" customWidth="1"/>
    <col min="12" max="12" width="6.375" customWidth="1"/>
    <col min="13" max="13" width="6.625" customWidth="1"/>
    <col min="14" max="14" width="6" customWidth="1"/>
    <col min="15" max="15" width="7.25" customWidth="1"/>
    <col min="16" max="16" width="4.75" customWidth="1"/>
    <col min="17" max="17" width="6.125" customWidth="1"/>
    <col min="18" max="18" width="4.25" customWidth="1"/>
    <col min="19" max="20" width="6" customWidth="1"/>
    <col min="21" max="21" width="10.125" bestFit="1" customWidth="1"/>
    <col min="22" max="22" width="14.875" customWidth="1"/>
    <col min="23" max="23" width="3.75" bestFit="1" customWidth="1"/>
    <col min="24" max="24" width="6.75" customWidth="1"/>
    <col min="25" max="25" width="7.625" style="470" bestFit="1" customWidth="1"/>
    <col min="26" max="26" width="5.625" style="465" customWidth="1"/>
    <col min="27" max="27" width="4" style="466" customWidth="1"/>
    <col min="29" max="29" width="9.75" customWidth="1"/>
    <col min="31" max="31" width="8.625" customWidth="1"/>
    <col min="32" max="32" width="10.625" customWidth="1"/>
    <col min="33" max="33" width="10.375" customWidth="1"/>
    <col min="34" max="34" width="15.125" customWidth="1"/>
  </cols>
  <sheetData>
    <row r="1" spans="1:249" s="79" customFormat="1" ht="32.25" customHeight="1" x14ac:dyDescent="0.2">
      <c r="A1" s="508" t="s">
        <v>437</v>
      </c>
      <c r="B1" s="508"/>
      <c r="C1" s="508"/>
      <c r="D1" s="508"/>
      <c r="E1" s="508"/>
      <c r="F1" s="508"/>
      <c r="G1" s="508"/>
      <c r="H1" s="508"/>
      <c r="I1" s="508"/>
      <c r="J1" s="508"/>
      <c r="K1" s="508"/>
      <c r="L1" s="508"/>
      <c r="M1" s="508"/>
      <c r="N1" s="508"/>
      <c r="O1" s="508"/>
      <c r="P1" s="508"/>
      <c r="Q1" s="508"/>
      <c r="R1" s="508"/>
      <c r="S1" s="508"/>
      <c r="T1" s="508"/>
      <c r="U1" s="508"/>
      <c r="V1" s="508"/>
      <c r="W1" s="508"/>
      <c r="X1" s="508"/>
      <c r="Y1" s="508"/>
      <c r="Z1" s="508"/>
      <c r="AA1" s="508"/>
      <c r="AB1" s="508"/>
      <c r="AC1" s="508"/>
      <c r="AD1" s="508"/>
      <c r="AE1" s="508"/>
      <c r="AF1" s="508"/>
      <c r="AG1" s="508"/>
      <c r="AH1" s="508"/>
      <c r="AI1" s="76"/>
      <c r="AJ1" s="77"/>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c r="DV1" s="78"/>
      <c r="DW1" s="78"/>
      <c r="DX1" s="78"/>
      <c r="DY1" s="78"/>
      <c r="DZ1" s="78"/>
      <c r="EA1" s="78"/>
      <c r="EB1" s="78"/>
      <c r="EC1" s="78"/>
      <c r="ED1" s="78"/>
      <c r="EE1" s="78"/>
      <c r="EF1" s="78"/>
      <c r="EG1" s="78"/>
      <c r="EH1" s="78"/>
      <c r="EI1" s="78"/>
      <c r="EJ1" s="78"/>
      <c r="EK1" s="78"/>
      <c r="EL1" s="78"/>
      <c r="EM1" s="78"/>
      <c r="EN1" s="78"/>
      <c r="EO1" s="78"/>
      <c r="EP1" s="78"/>
      <c r="EQ1" s="78"/>
      <c r="ER1" s="78"/>
      <c r="ES1" s="78"/>
      <c r="ET1" s="78"/>
      <c r="EU1" s="78"/>
      <c r="EV1" s="78"/>
      <c r="EW1" s="78"/>
      <c r="EX1" s="78"/>
      <c r="EY1" s="78"/>
      <c r="EZ1" s="78"/>
      <c r="FA1" s="78"/>
      <c r="FB1" s="78"/>
      <c r="FC1" s="78"/>
      <c r="FD1" s="78"/>
      <c r="FE1" s="78"/>
      <c r="FF1" s="78"/>
      <c r="FG1" s="78"/>
      <c r="FH1" s="78"/>
      <c r="FI1" s="78"/>
      <c r="FJ1" s="78"/>
      <c r="FK1" s="78"/>
      <c r="FL1" s="78"/>
      <c r="FM1" s="78"/>
      <c r="FN1" s="78"/>
      <c r="FO1" s="78"/>
      <c r="FP1" s="78"/>
      <c r="FQ1" s="78"/>
      <c r="FR1" s="78"/>
      <c r="FS1" s="78"/>
      <c r="FT1" s="78"/>
      <c r="FU1" s="78"/>
      <c r="FV1" s="78"/>
      <c r="FW1" s="78"/>
      <c r="FX1" s="78"/>
      <c r="FY1" s="78"/>
      <c r="FZ1" s="78"/>
      <c r="GA1" s="78"/>
      <c r="GB1" s="78"/>
      <c r="GC1" s="78"/>
      <c r="GD1" s="78"/>
      <c r="GE1" s="78"/>
      <c r="GF1" s="78"/>
      <c r="GG1" s="78"/>
      <c r="GH1" s="78"/>
      <c r="GI1" s="78"/>
      <c r="GJ1" s="78"/>
      <c r="GK1" s="78"/>
      <c r="GL1" s="78"/>
      <c r="GM1" s="78"/>
      <c r="GN1" s="78"/>
      <c r="GO1" s="78"/>
      <c r="GP1" s="78"/>
      <c r="GQ1" s="78"/>
      <c r="GR1" s="78"/>
      <c r="GS1" s="78"/>
      <c r="GT1" s="78"/>
      <c r="GU1" s="78"/>
      <c r="GV1" s="78"/>
      <c r="GW1" s="78"/>
      <c r="GX1" s="78"/>
      <c r="GY1" s="78"/>
      <c r="GZ1" s="78"/>
      <c r="HA1" s="78"/>
      <c r="HB1" s="78"/>
      <c r="HC1" s="78"/>
      <c r="HD1" s="78"/>
      <c r="HE1" s="78"/>
      <c r="HF1" s="78"/>
      <c r="HG1" s="78"/>
      <c r="HH1" s="78"/>
      <c r="HI1" s="78"/>
      <c r="HJ1" s="78"/>
      <c r="HK1" s="78"/>
      <c r="HL1" s="78"/>
      <c r="HM1" s="78"/>
      <c r="HN1" s="78"/>
      <c r="HO1" s="78"/>
      <c r="HP1" s="78"/>
      <c r="HQ1" s="78"/>
      <c r="HR1" s="78"/>
      <c r="HS1" s="78"/>
      <c r="HT1" s="78"/>
      <c r="HU1" s="78"/>
      <c r="HV1" s="78"/>
      <c r="HW1" s="78"/>
      <c r="HX1" s="78"/>
      <c r="HY1" s="78"/>
      <c r="HZ1" s="78"/>
      <c r="IA1" s="78"/>
      <c r="IB1" s="78"/>
      <c r="IC1" s="78"/>
      <c r="ID1" s="78"/>
      <c r="IE1" s="78"/>
      <c r="IF1" s="78"/>
      <c r="IG1" s="78"/>
      <c r="IH1" s="78"/>
      <c r="II1" s="78"/>
      <c r="IJ1" s="78"/>
      <c r="IK1" s="78"/>
      <c r="IL1" s="78"/>
      <c r="IM1" s="78"/>
      <c r="IN1" s="78"/>
      <c r="IO1" s="78"/>
    </row>
    <row r="2" spans="1:249" s="79" customFormat="1" ht="18" customHeight="1" x14ac:dyDescent="0.2">
      <c r="A2" s="508" t="s">
        <v>29</v>
      </c>
      <c r="B2" s="508"/>
      <c r="C2" s="508"/>
      <c r="D2" s="508"/>
      <c r="E2" s="508"/>
      <c r="F2" s="508"/>
      <c r="G2" s="508"/>
      <c r="H2" s="508"/>
      <c r="I2" s="508"/>
      <c r="J2" s="508"/>
      <c r="K2" s="508"/>
      <c r="L2" s="508"/>
      <c r="M2" s="508"/>
      <c r="N2" s="508"/>
      <c r="O2" s="508"/>
      <c r="P2" s="508"/>
      <c r="Q2" s="508"/>
      <c r="R2" s="508"/>
      <c r="S2" s="508"/>
      <c r="T2" s="508"/>
      <c r="U2" s="508"/>
      <c r="V2" s="508"/>
      <c r="W2" s="508"/>
      <c r="X2" s="508"/>
      <c r="Y2" s="508"/>
      <c r="Z2" s="508"/>
      <c r="AA2" s="508"/>
      <c r="AB2" s="508"/>
      <c r="AC2" s="508"/>
      <c r="AD2" s="508"/>
      <c r="AE2" s="508"/>
      <c r="AF2" s="508"/>
      <c r="AG2" s="508"/>
      <c r="AH2" s="508"/>
      <c r="AI2" s="76"/>
      <c r="AJ2" s="77"/>
      <c r="AK2" s="78"/>
      <c r="AL2" s="78"/>
      <c r="AM2" s="78"/>
      <c r="AN2" s="78"/>
      <c r="AO2" s="78"/>
      <c r="AP2" s="78"/>
      <c r="AQ2" s="78"/>
      <c r="AR2" s="78"/>
      <c r="AS2" s="78"/>
      <c r="AT2" s="78"/>
      <c r="AU2" s="78"/>
      <c r="AV2" s="78"/>
      <c r="AW2" s="78"/>
      <c r="AX2" s="78"/>
      <c r="AY2" s="78"/>
      <c r="AZ2" s="78"/>
      <c r="BA2" s="78"/>
      <c r="BB2" s="78"/>
      <c r="BC2" s="78"/>
      <c r="BD2" s="78"/>
      <c r="BE2" s="78"/>
      <c r="BF2" s="78"/>
      <c r="BG2" s="78"/>
      <c r="BH2" s="78"/>
      <c r="BI2" s="78"/>
      <c r="BJ2" s="78"/>
      <c r="BK2" s="78"/>
      <c r="BL2" s="78"/>
      <c r="BM2" s="78"/>
      <c r="BN2" s="78"/>
      <c r="BO2" s="78"/>
      <c r="BP2" s="78"/>
      <c r="BQ2" s="78"/>
      <c r="BR2" s="78"/>
      <c r="BS2" s="78"/>
      <c r="BT2" s="78"/>
      <c r="BU2" s="78"/>
      <c r="BV2" s="78"/>
      <c r="BW2" s="78"/>
      <c r="BX2" s="78"/>
      <c r="BY2" s="78"/>
      <c r="BZ2" s="78"/>
      <c r="CA2" s="78"/>
      <c r="CB2" s="78"/>
      <c r="CC2" s="78"/>
      <c r="CD2" s="78"/>
      <c r="CE2" s="78"/>
      <c r="CF2" s="78"/>
      <c r="CG2" s="78"/>
      <c r="CH2" s="78"/>
      <c r="CI2" s="78"/>
      <c r="CJ2" s="78"/>
      <c r="CK2" s="78"/>
      <c r="CL2" s="78"/>
      <c r="CM2" s="78"/>
      <c r="CN2" s="78"/>
      <c r="CO2" s="78"/>
      <c r="CP2" s="78"/>
      <c r="CQ2" s="78"/>
      <c r="CR2" s="78"/>
      <c r="CS2" s="78"/>
      <c r="CT2" s="78"/>
      <c r="CU2" s="78"/>
      <c r="CV2" s="78"/>
      <c r="CW2" s="78"/>
      <c r="CX2" s="78"/>
      <c r="CY2" s="78"/>
      <c r="CZ2" s="78"/>
      <c r="DA2" s="78"/>
      <c r="DB2" s="78"/>
      <c r="DC2" s="78"/>
      <c r="DD2" s="78"/>
      <c r="DE2" s="78"/>
      <c r="DF2" s="78"/>
      <c r="DG2" s="78"/>
      <c r="DH2" s="78"/>
      <c r="DI2" s="78"/>
      <c r="DJ2" s="78"/>
      <c r="DK2" s="78"/>
      <c r="DL2" s="78"/>
      <c r="DM2" s="78"/>
      <c r="DN2" s="78"/>
      <c r="DO2" s="78"/>
      <c r="DP2" s="78"/>
      <c r="DQ2" s="78"/>
      <c r="DR2" s="78"/>
      <c r="DS2" s="78"/>
      <c r="DT2" s="78"/>
      <c r="DU2" s="78"/>
      <c r="DV2" s="78"/>
      <c r="DW2" s="78"/>
      <c r="DX2" s="78"/>
      <c r="DY2" s="78"/>
      <c r="DZ2" s="78"/>
      <c r="EA2" s="78"/>
      <c r="EB2" s="78"/>
      <c r="EC2" s="78"/>
      <c r="ED2" s="78"/>
      <c r="EE2" s="78"/>
      <c r="EF2" s="78"/>
      <c r="EG2" s="78"/>
      <c r="EH2" s="78"/>
      <c r="EI2" s="78"/>
      <c r="EJ2" s="78"/>
      <c r="EK2" s="78"/>
      <c r="EL2" s="78"/>
      <c r="EM2" s="78"/>
      <c r="EN2" s="78"/>
      <c r="EO2" s="78"/>
      <c r="EP2" s="78"/>
      <c r="EQ2" s="78"/>
      <c r="ER2" s="78"/>
      <c r="ES2" s="78"/>
      <c r="ET2" s="78"/>
      <c r="EU2" s="78"/>
      <c r="EV2" s="78"/>
      <c r="EW2" s="78"/>
      <c r="EX2" s="78"/>
      <c r="EY2" s="78"/>
      <c r="EZ2" s="78"/>
      <c r="FA2" s="78"/>
      <c r="FB2" s="78"/>
      <c r="FC2" s="78"/>
      <c r="FD2" s="78"/>
      <c r="FE2" s="78"/>
      <c r="FF2" s="78"/>
      <c r="FG2" s="78"/>
      <c r="FH2" s="78"/>
      <c r="FI2" s="78"/>
      <c r="FJ2" s="78"/>
      <c r="FK2" s="78"/>
      <c r="FL2" s="78"/>
      <c r="FM2" s="78"/>
      <c r="FN2" s="78"/>
      <c r="FO2" s="78"/>
      <c r="FP2" s="78"/>
      <c r="FQ2" s="78"/>
      <c r="FR2" s="78"/>
      <c r="FS2" s="78"/>
      <c r="FT2" s="78"/>
      <c r="FU2" s="78"/>
      <c r="FV2" s="78"/>
      <c r="FW2" s="78"/>
      <c r="FX2" s="78"/>
      <c r="FY2" s="78"/>
      <c r="FZ2" s="78"/>
      <c r="GA2" s="78"/>
      <c r="GB2" s="78"/>
      <c r="GC2" s="78"/>
      <c r="GD2" s="78"/>
      <c r="GE2" s="78"/>
      <c r="GF2" s="78"/>
      <c r="GG2" s="78"/>
      <c r="GH2" s="78"/>
      <c r="GI2" s="78"/>
      <c r="GJ2" s="78"/>
      <c r="GK2" s="78"/>
      <c r="GL2" s="78"/>
      <c r="GM2" s="78"/>
      <c r="GN2" s="78"/>
      <c r="GO2" s="78"/>
      <c r="GP2" s="78"/>
      <c r="GQ2" s="78"/>
      <c r="GR2" s="78"/>
      <c r="GS2" s="78"/>
      <c r="GT2" s="78"/>
      <c r="GU2" s="78"/>
      <c r="GV2" s="78"/>
      <c r="GW2" s="78"/>
      <c r="GX2" s="78"/>
      <c r="GY2" s="78"/>
      <c r="GZ2" s="78"/>
      <c r="HA2" s="78"/>
      <c r="HB2" s="78"/>
      <c r="HC2" s="78"/>
      <c r="HD2" s="78"/>
      <c r="HE2" s="78"/>
      <c r="HF2" s="78"/>
      <c r="HG2" s="78"/>
      <c r="HH2" s="78"/>
      <c r="HI2" s="78"/>
      <c r="HJ2" s="78"/>
      <c r="HK2" s="78"/>
      <c r="HL2" s="78"/>
      <c r="HM2" s="78"/>
      <c r="HN2" s="78"/>
      <c r="HO2" s="78"/>
      <c r="HP2" s="78"/>
      <c r="HQ2" s="78"/>
      <c r="HR2" s="78"/>
      <c r="HS2" s="78"/>
      <c r="HT2" s="78"/>
      <c r="HU2" s="78"/>
      <c r="HV2" s="78"/>
      <c r="HW2" s="78"/>
      <c r="HX2" s="78"/>
      <c r="HY2" s="78"/>
      <c r="HZ2" s="78"/>
      <c r="IA2" s="78"/>
      <c r="IB2" s="78"/>
      <c r="IC2" s="78"/>
      <c r="ID2" s="78"/>
      <c r="IE2" s="78"/>
      <c r="IF2" s="78"/>
      <c r="IG2" s="78"/>
      <c r="IH2" s="78"/>
      <c r="II2" s="78"/>
      <c r="IJ2" s="78"/>
      <c r="IK2" s="78"/>
      <c r="IL2" s="78"/>
      <c r="IM2" s="78"/>
      <c r="IN2" s="78"/>
      <c r="IO2" s="78"/>
    </row>
    <row r="3" spans="1:249" s="83" customFormat="1" ht="15" customHeight="1" x14ac:dyDescent="0.3">
      <c r="A3" s="509" t="s">
        <v>460</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81"/>
      <c r="AJ3" s="80"/>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c r="DR3" s="82"/>
      <c r="DS3" s="82"/>
      <c r="DT3" s="82"/>
      <c r="DU3" s="82"/>
      <c r="DV3" s="82"/>
      <c r="DW3" s="82"/>
      <c r="DX3" s="82"/>
      <c r="DY3" s="82"/>
      <c r="DZ3" s="82"/>
      <c r="EA3" s="82"/>
      <c r="EB3" s="82"/>
      <c r="EC3" s="82"/>
      <c r="ED3" s="82"/>
      <c r="EE3" s="82"/>
      <c r="EF3" s="82"/>
      <c r="EG3" s="82"/>
      <c r="EH3" s="82"/>
      <c r="EI3" s="82"/>
      <c r="EJ3" s="82"/>
      <c r="EK3" s="82"/>
      <c r="EL3" s="82"/>
      <c r="EM3" s="82"/>
      <c r="EN3" s="82"/>
      <c r="EO3" s="82"/>
      <c r="EP3" s="82"/>
      <c r="EQ3" s="82"/>
      <c r="ER3" s="82"/>
      <c r="ES3" s="82"/>
      <c r="ET3" s="82"/>
      <c r="EU3" s="82"/>
      <c r="EV3" s="82"/>
      <c r="EW3" s="82"/>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2"/>
      <c r="HX3" s="82"/>
      <c r="HY3" s="82"/>
      <c r="HZ3" s="82"/>
      <c r="IA3" s="82"/>
      <c r="IB3" s="82"/>
      <c r="IC3" s="82"/>
      <c r="ID3" s="82"/>
      <c r="IE3" s="82"/>
      <c r="IF3" s="82"/>
      <c r="IG3" s="82"/>
      <c r="IH3" s="82"/>
      <c r="II3" s="82"/>
      <c r="IJ3" s="82"/>
      <c r="IK3" s="82"/>
      <c r="IL3" s="82"/>
      <c r="IM3" s="82"/>
      <c r="IN3" s="82"/>
      <c r="IO3" s="82"/>
    </row>
    <row r="4" spans="1:249" ht="7.5" customHeight="1" x14ac:dyDescent="0.25"/>
    <row r="5" spans="1:249" ht="38.25" customHeight="1" x14ac:dyDescent="0.25">
      <c r="A5" s="474" t="s">
        <v>327</v>
      </c>
      <c r="B5" s="475" t="s">
        <v>1</v>
      </c>
      <c r="C5" s="478" t="s">
        <v>74</v>
      </c>
      <c r="D5" s="479"/>
      <c r="E5" s="479"/>
      <c r="F5" s="480"/>
      <c r="G5" s="481" t="s">
        <v>3</v>
      </c>
      <c r="H5" s="481"/>
      <c r="I5" s="481"/>
      <c r="J5" s="481"/>
      <c r="K5" s="478" t="s">
        <v>69</v>
      </c>
      <c r="L5" s="479"/>
      <c r="M5" s="479"/>
      <c r="N5" s="479"/>
      <c r="O5" s="479"/>
      <c r="P5" s="479"/>
      <c r="Q5" s="479"/>
      <c r="R5" s="480"/>
      <c r="S5" s="481" t="s">
        <v>28</v>
      </c>
      <c r="T5" s="481" t="s">
        <v>75</v>
      </c>
      <c r="U5" s="481"/>
      <c r="V5" s="478" t="s">
        <v>76</v>
      </c>
      <c r="W5" s="479"/>
      <c r="X5" s="479"/>
      <c r="Y5" s="479"/>
      <c r="Z5" s="507"/>
      <c r="AA5" s="479"/>
      <c r="AB5" s="480"/>
      <c r="AC5" s="481" t="s">
        <v>77</v>
      </c>
      <c r="AD5" s="496" t="s">
        <v>81</v>
      </c>
      <c r="AE5" s="475" t="s">
        <v>301</v>
      </c>
      <c r="AF5" s="481" t="s">
        <v>83</v>
      </c>
      <c r="AG5" s="481" t="s">
        <v>65</v>
      </c>
      <c r="AH5" s="496" t="s">
        <v>4</v>
      </c>
    </row>
    <row r="6" spans="1:249" ht="15.75" customHeight="1" x14ac:dyDescent="0.25">
      <c r="A6" s="474"/>
      <c r="B6" s="476"/>
      <c r="C6" s="487" t="s">
        <v>441</v>
      </c>
      <c r="D6" s="487" t="s">
        <v>35</v>
      </c>
      <c r="E6" s="487" t="s">
        <v>13</v>
      </c>
      <c r="F6" s="487" t="s">
        <v>2</v>
      </c>
      <c r="G6" s="487" t="s">
        <v>442</v>
      </c>
      <c r="H6" s="487" t="s">
        <v>35</v>
      </c>
      <c r="I6" s="487" t="s">
        <v>13</v>
      </c>
      <c r="J6" s="487" t="s">
        <v>443</v>
      </c>
      <c r="K6" s="482" t="s">
        <v>30</v>
      </c>
      <c r="L6" s="483"/>
      <c r="M6" s="484"/>
      <c r="N6" s="482" t="s">
        <v>31</v>
      </c>
      <c r="O6" s="483"/>
      <c r="P6" s="484"/>
      <c r="Q6" s="485" t="s">
        <v>17</v>
      </c>
      <c r="R6" s="485" t="s">
        <v>70</v>
      </c>
      <c r="S6" s="481"/>
      <c r="T6" s="487" t="s">
        <v>18</v>
      </c>
      <c r="U6" s="487" t="s">
        <v>19</v>
      </c>
      <c r="V6" s="492" t="s">
        <v>20</v>
      </c>
      <c r="W6" s="492" t="s">
        <v>21</v>
      </c>
      <c r="X6" s="492" t="s">
        <v>22</v>
      </c>
      <c r="Y6" s="488" t="s">
        <v>459</v>
      </c>
      <c r="Z6" s="489"/>
      <c r="AA6" s="505" t="s">
        <v>23</v>
      </c>
      <c r="AB6" s="505" t="s">
        <v>19</v>
      </c>
      <c r="AC6" s="481"/>
      <c r="AD6" s="497"/>
      <c r="AE6" s="476"/>
      <c r="AF6" s="481"/>
      <c r="AG6" s="481"/>
      <c r="AH6" s="497"/>
    </row>
    <row r="7" spans="1:249" ht="135" customHeight="1" x14ac:dyDescent="0.25">
      <c r="A7" s="474"/>
      <c r="B7" s="477"/>
      <c r="C7" s="487"/>
      <c r="D7" s="487"/>
      <c r="E7" s="487"/>
      <c r="F7" s="487"/>
      <c r="G7" s="487"/>
      <c r="H7" s="487"/>
      <c r="I7" s="487"/>
      <c r="J7" s="487"/>
      <c r="K7" s="45" t="s">
        <v>68</v>
      </c>
      <c r="L7" s="87" t="s">
        <v>66</v>
      </c>
      <c r="M7" s="45" t="s">
        <v>67</v>
      </c>
      <c r="N7" s="45" t="s">
        <v>68</v>
      </c>
      <c r="O7" s="87" t="s">
        <v>66</v>
      </c>
      <c r="P7" s="45" t="s">
        <v>67</v>
      </c>
      <c r="Q7" s="486"/>
      <c r="R7" s="486"/>
      <c r="S7" s="481"/>
      <c r="T7" s="487"/>
      <c r="U7" s="487"/>
      <c r="V7" s="493"/>
      <c r="W7" s="493"/>
      <c r="X7" s="493"/>
      <c r="Y7" s="462" t="s">
        <v>18</v>
      </c>
      <c r="Z7" s="463" t="s">
        <v>444</v>
      </c>
      <c r="AA7" s="487"/>
      <c r="AB7" s="487"/>
      <c r="AC7" s="481"/>
      <c r="AD7" s="498"/>
      <c r="AE7" s="477"/>
      <c r="AF7" s="481"/>
      <c r="AG7" s="481"/>
      <c r="AH7" s="498"/>
    </row>
    <row r="8" spans="1:249" ht="36" x14ac:dyDescent="0.25">
      <c r="A8" s="46">
        <v>1</v>
      </c>
      <c r="B8" s="88">
        <v>2</v>
      </c>
      <c r="C8" s="46">
        <v>3</v>
      </c>
      <c r="D8" s="46">
        <v>4</v>
      </c>
      <c r="E8" s="46">
        <v>5</v>
      </c>
      <c r="F8" s="46">
        <v>6</v>
      </c>
      <c r="G8" s="46">
        <v>7</v>
      </c>
      <c r="H8" s="46">
        <v>8</v>
      </c>
      <c r="I8" s="46">
        <v>9</v>
      </c>
      <c r="J8" s="230">
        <v>10</v>
      </c>
      <c r="K8" s="46">
        <v>11</v>
      </c>
      <c r="L8" s="46">
        <v>12</v>
      </c>
      <c r="M8" s="46">
        <v>13</v>
      </c>
      <c r="N8" s="46">
        <v>14</v>
      </c>
      <c r="O8" s="46">
        <v>15</v>
      </c>
      <c r="P8" s="46">
        <v>16</v>
      </c>
      <c r="Q8" s="68" t="s">
        <v>63</v>
      </c>
      <c r="R8" s="46">
        <v>18</v>
      </c>
      <c r="S8" s="46">
        <v>19</v>
      </c>
      <c r="T8" s="46">
        <v>20</v>
      </c>
      <c r="U8" s="46" t="s">
        <v>455</v>
      </c>
      <c r="V8" s="52">
        <v>22</v>
      </c>
      <c r="W8" s="52">
        <v>23</v>
      </c>
      <c r="X8" s="52">
        <v>24</v>
      </c>
      <c r="Y8" s="52">
        <v>25</v>
      </c>
      <c r="Z8" s="46">
        <v>26</v>
      </c>
      <c r="AA8" s="46">
        <v>27</v>
      </c>
      <c r="AB8" s="46" t="s">
        <v>451</v>
      </c>
      <c r="AC8" s="46" t="s">
        <v>452</v>
      </c>
      <c r="AD8" s="46" t="s">
        <v>456</v>
      </c>
      <c r="AE8" s="46" t="s">
        <v>453</v>
      </c>
      <c r="AF8" s="46" t="s">
        <v>454</v>
      </c>
      <c r="AG8" s="46">
        <v>33</v>
      </c>
      <c r="AH8" s="46">
        <v>34</v>
      </c>
    </row>
    <row r="9" spans="1:249" ht="30" customHeight="1" x14ac:dyDescent="0.25">
      <c r="A9" s="94">
        <v>1</v>
      </c>
      <c r="B9" s="95" t="s">
        <v>88</v>
      </c>
      <c r="C9" s="500">
        <v>5</v>
      </c>
      <c r="D9" s="500">
        <v>98</v>
      </c>
      <c r="E9" s="501">
        <v>840</v>
      </c>
      <c r="F9" s="502" t="s">
        <v>201</v>
      </c>
      <c r="G9" s="210">
        <v>28</v>
      </c>
      <c r="H9" s="210">
        <v>684</v>
      </c>
      <c r="I9" s="211">
        <v>477.6</v>
      </c>
      <c r="J9" s="212" t="s">
        <v>7</v>
      </c>
      <c r="K9" s="48">
        <f>840-I10</f>
        <v>433.9</v>
      </c>
      <c r="L9" s="48">
        <f>I9+I10-840</f>
        <v>43.700000000000045</v>
      </c>
      <c r="M9" s="48"/>
      <c r="N9" s="49"/>
      <c r="O9" s="49"/>
      <c r="P9" s="49"/>
      <c r="Q9" s="50">
        <f t="shared" ref="Q9:Q86" si="0">K9+L9+M9+N9+O9+P9</f>
        <v>477.6</v>
      </c>
      <c r="R9" s="55" t="str">
        <f t="shared" ref="R9:R87" si="1">J9</f>
        <v>LUC</v>
      </c>
      <c r="S9" s="182"/>
      <c r="T9" s="40">
        <v>80000</v>
      </c>
      <c r="U9" s="40">
        <f>(K9+L9+N9+O9)*T9</f>
        <v>38208000</v>
      </c>
      <c r="V9" s="158" t="s">
        <v>64</v>
      </c>
      <c r="W9" s="241" t="s">
        <v>24</v>
      </c>
      <c r="X9" s="242">
        <f t="shared" ref="X9:X10" si="2">Q9</f>
        <v>477.6</v>
      </c>
      <c r="Y9" s="267">
        <v>9000</v>
      </c>
      <c r="Z9" s="464">
        <v>1</v>
      </c>
      <c r="AA9" s="467">
        <v>1</v>
      </c>
      <c r="AB9" s="40">
        <f>X9*(Y9*Z9)*AA9</f>
        <v>4298400</v>
      </c>
      <c r="AC9" s="40">
        <f>(K9+L9+N9+O9)*T9*5</f>
        <v>191040000</v>
      </c>
      <c r="AD9" s="40">
        <f>(K9+L9+N9+O9)*15000</f>
        <v>7164000</v>
      </c>
      <c r="AE9" s="40">
        <f>(M9+P9)*T9*100%</f>
        <v>0</v>
      </c>
      <c r="AF9" s="56">
        <f>U9+AB9+AC9+AD9+AE9</f>
        <v>240710400</v>
      </c>
      <c r="AG9" s="504">
        <f>AF9+AF10</f>
        <v>416505600</v>
      </c>
      <c r="AH9" s="44"/>
    </row>
    <row r="10" spans="1:249" ht="67.5" x14ac:dyDescent="0.25">
      <c r="A10" s="94">
        <v>1</v>
      </c>
      <c r="B10" s="95" t="s">
        <v>88</v>
      </c>
      <c r="C10" s="500"/>
      <c r="D10" s="500"/>
      <c r="E10" s="501"/>
      <c r="F10" s="503"/>
      <c r="G10" s="210">
        <v>28</v>
      </c>
      <c r="H10" s="210">
        <v>718</v>
      </c>
      <c r="I10" s="211">
        <v>406.1</v>
      </c>
      <c r="J10" s="212" t="s">
        <v>7</v>
      </c>
      <c r="K10" s="48">
        <f>406.1-57.3</f>
        <v>348.8</v>
      </c>
      <c r="L10" s="48"/>
      <c r="M10" s="48"/>
      <c r="N10" s="49"/>
      <c r="O10" s="49"/>
      <c r="P10" s="49"/>
      <c r="Q10" s="50">
        <f t="shared" si="0"/>
        <v>348.8</v>
      </c>
      <c r="R10" s="55" t="str">
        <f t="shared" si="1"/>
        <v>LUC</v>
      </c>
      <c r="S10" s="182">
        <v>57.3</v>
      </c>
      <c r="T10" s="40">
        <v>80000</v>
      </c>
      <c r="U10" s="40">
        <f t="shared" ref="U10:U73" si="3">(K10+L10+N10+O10)*T10</f>
        <v>27904000</v>
      </c>
      <c r="V10" s="158" t="s">
        <v>64</v>
      </c>
      <c r="W10" s="241" t="s">
        <v>24</v>
      </c>
      <c r="X10" s="242">
        <f t="shared" si="2"/>
        <v>348.8</v>
      </c>
      <c r="Y10" s="267">
        <v>9000</v>
      </c>
      <c r="Z10" s="464">
        <v>1</v>
      </c>
      <c r="AA10" s="467">
        <v>1</v>
      </c>
      <c r="AB10" s="40">
        <f t="shared" ref="AB10:AB73" si="4">X10*(Y10*Z10)*AA10</f>
        <v>3139200</v>
      </c>
      <c r="AC10" s="40">
        <f t="shared" ref="AC10:AC73" si="5">(K10+L10+N10+O10)*T10*5</f>
        <v>139520000</v>
      </c>
      <c r="AD10" s="40">
        <f t="shared" ref="AD10:AD73" si="6">(K10+L10+N10+O10)*15000</f>
        <v>5232000</v>
      </c>
      <c r="AE10" s="40">
        <f t="shared" ref="AE10:AE73" si="7">(M10+P10)*T10*100%</f>
        <v>0</v>
      </c>
      <c r="AF10" s="56">
        <f t="shared" ref="AF10:AF73" si="8">U10+AB10+AC10+AD10+AE10</f>
        <v>175795200</v>
      </c>
      <c r="AG10" s="504"/>
      <c r="AH10" s="44" t="s">
        <v>195</v>
      </c>
    </row>
    <row r="11" spans="1:249" ht="30" customHeight="1" x14ac:dyDescent="0.25">
      <c r="A11" s="94">
        <v>2</v>
      </c>
      <c r="B11" s="156" t="s">
        <v>196</v>
      </c>
      <c r="C11" s="98">
        <v>5</v>
      </c>
      <c r="D11" s="98">
        <v>38</v>
      </c>
      <c r="E11" s="157">
        <v>720</v>
      </c>
      <c r="F11" s="98" t="s">
        <v>33</v>
      </c>
      <c r="G11" s="210">
        <v>29</v>
      </c>
      <c r="H11" s="210">
        <v>18</v>
      </c>
      <c r="I11" s="211">
        <v>816</v>
      </c>
      <c r="J11" s="213" t="s">
        <v>7</v>
      </c>
      <c r="K11" s="48">
        <v>720</v>
      </c>
      <c r="L11" s="48">
        <f>I11-K11</f>
        <v>96</v>
      </c>
      <c r="M11" s="48"/>
      <c r="N11" s="49"/>
      <c r="O11" s="49"/>
      <c r="P11" s="49"/>
      <c r="Q11" s="50">
        <f t="shared" si="0"/>
        <v>816</v>
      </c>
      <c r="R11" s="55" t="str">
        <f t="shared" si="1"/>
        <v>LUC</v>
      </c>
      <c r="S11" s="182"/>
      <c r="T11" s="40">
        <v>80000</v>
      </c>
      <c r="U11" s="40">
        <f t="shared" si="3"/>
        <v>65280000</v>
      </c>
      <c r="V11" s="158" t="s">
        <v>64</v>
      </c>
      <c r="W11" s="241" t="s">
        <v>24</v>
      </c>
      <c r="X11" s="242">
        <f>Q11</f>
        <v>816</v>
      </c>
      <c r="Y11" s="267">
        <v>9000</v>
      </c>
      <c r="Z11" s="464">
        <v>1</v>
      </c>
      <c r="AA11" s="467">
        <v>1</v>
      </c>
      <c r="AB11" s="40">
        <f t="shared" si="4"/>
        <v>7344000</v>
      </c>
      <c r="AC11" s="40">
        <f t="shared" si="5"/>
        <v>326400000</v>
      </c>
      <c r="AD11" s="40">
        <f t="shared" si="6"/>
        <v>12240000</v>
      </c>
      <c r="AE11" s="40">
        <f t="shared" si="7"/>
        <v>0</v>
      </c>
      <c r="AF11" s="56">
        <f t="shared" si="8"/>
        <v>411264000</v>
      </c>
      <c r="AG11" s="504">
        <f>SUM(AF11:AF19)</f>
        <v>915850600</v>
      </c>
      <c r="AH11" s="6"/>
    </row>
    <row r="12" spans="1:249" ht="30" customHeight="1" x14ac:dyDescent="0.25">
      <c r="A12" s="94">
        <v>2</v>
      </c>
      <c r="B12" s="156" t="s">
        <v>196</v>
      </c>
      <c r="C12" s="251">
        <v>5</v>
      </c>
      <c r="D12" s="251">
        <v>77</v>
      </c>
      <c r="E12" s="231">
        <v>120</v>
      </c>
      <c r="F12" s="214" t="s">
        <v>33</v>
      </c>
      <c r="G12" s="210">
        <v>28</v>
      </c>
      <c r="H12" s="210">
        <v>461</v>
      </c>
      <c r="I12" s="211">
        <v>146.80000000000001</v>
      </c>
      <c r="J12" s="213" t="s">
        <v>7</v>
      </c>
      <c r="K12" s="48">
        <v>120</v>
      </c>
      <c r="L12" s="48">
        <f t="shared" ref="L12:L17" si="9">I12-K12</f>
        <v>26.800000000000011</v>
      </c>
      <c r="M12" s="48"/>
      <c r="N12" s="49"/>
      <c r="O12" s="49"/>
      <c r="P12" s="49"/>
      <c r="Q12" s="50">
        <f t="shared" si="0"/>
        <v>146.80000000000001</v>
      </c>
      <c r="R12" s="55" t="str">
        <f t="shared" si="1"/>
        <v>LUC</v>
      </c>
      <c r="S12" s="183"/>
      <c r="T12" s="40">
        <v>80000</v>
      </c>
      <c r="U12" s="40">
        <f t="shared" si="3"/>
        <v>11744000</v>
      </c>
      <c r="V12" s="158" t="s">
        <v>64</v>
      </c>
      <c r="W12" s="241" t="s">
        <v>24</v>
      </c>
      <c r="X12" s="242">
        <f t="shared" ref="X12:X14" si="10">Q12</f>
        <v>146.80000000000001</v>
      </c>
      <c r="Y12" s="267">
        <v>9000</v>
      </c>
      <c r="Z12" s="464">
        <v>1</v>
      </c>
      <c r="AA12" s="467">
        <v>1</v>
      </c>
      <c r="AB12" s="40">
        <f t="shared" si="4"/>
        <v>1321200</v>
      </c>
      <c r="AC12" s="40">
        <f t="shared" si="5"/>
        <v>58720000</v>
      </c>
      <c r="AD12" s="40">
        <f t="shared" si="6"/>
        <v>2202000</v>
      </c>
      <c r="AE12" s="40">
        <f t="shared" si="7"/>
        <v>0</v>
      </c>
      <c r="AF12" s="56">
        <f t="shared" si="8"/>
        <v>73987200</v>
      </c>
      <c r="AG12" s="504"/>
      <c r="AH12" s="69"/>
    </row>
    <row r="13" spans="1:249" ht="30" customHeight="1" x14ac:dyDescent="0.25">
      <c r="A13" s="94">
        <v>2</v>
      </c>
      <c r="B13" s="156" t="s">
        <v>196</v>
      </c>
      <c r="C13" s="251">
        <v>5</v>
      </c>
      <c r="D13" s="251">
        <v>64</v>
      </c>
      <c r="E13" s="231">
        <v>288</v>
      </c>
      <c r="F13" s="214" t="s">
        <v>33</v>
      </c>
      <c r="G13" s="210">
        <v>28</v>
      </c>
      <c r="H13" s="210">
        <v>783</v>
      </c>
      <c r="I13" s="211">
        <v>377.9</v>
      </c>
      <c r="J13" s="213" t="s">
        <v>7</v>
      </c>
      <c r="K13" s="48">
        <v>288</v>
      </c>
      <c r="L13" s="48">
        <f t="shared" si="9"/>
        <v>89.899999999999977</v>
      </c>
      <c r="M13" s="48"/>
      <c r="N13" s="49"/>
      <c r="O13" s="49"/>
      <c r="P13" s="49"/>
      <c r="Q13" s="50">
        <f t="shared" si="0"/>
        <v>377.9</v>
      </c>
      <c r="R13" s="55" t="str">
        <f t="shared" si="1"/>
        <v>LUC</v>
      </c>
      <c r="S13" s="183"/>
      <c r="T13" s="40">
        <v>80000</v>
      </c>
      <c r="U13" s="40">
        <f t="shared" si="3"/>
        <v>30232000</v>
      </c>
      <c r="V13" s="158" t="s">
        <v>64</v>
      </c>
      <c r="W13" s="241" t="s">
        <v>24</v>
      </c>
      <c r="X13" s="242">
        <f t="shared" si="10"/>
        <v>377.9</v>
      </c>
      <c r="Y13" s="267">
        <v>9000</v>
      </c>
      <c r="Z13" s="464">
        <v>1</v>
      </c>
      <c r="AA13" s="467">
        <v>1</v>
      </c>
      <c r="AB13" s="40">
        <f t="shared" si="4"/>
        <v>3401100</v>
      </c>
      <c r="AC13" s="40">
        <f t="shared" si="5"/>
        <v>151160000</v>
      </c>
      <c r="AD13" s="40">
        <f t="shared" si="6"/>
        <v>5668500</v>
      </c>
      <c r="AE13" s="40">
        <f t="shared" si="7"/>
        <v>0</v>
      </c>
      <c r="AF13" s="56">
        <f t="shared" si="8"/>
        <v>190461600</v>
      </c>
      <c r="AG13" s="504"/>
      <c r="AH13" s="6"/>
    </row>
    <row r="14" spans="1:249" ht="30" customHeight="1" x14ac:dyDescent="0.25">
      <c r="A14" s="94">
        <v>2</v>
      </c>
      <c r="B14" s="156" t="s">
        <v>196</v>
      </c>
      <c r="C14" s="251">
        <v>5</v>
      </c>
      <c r="D14" s="251">
        <v>64</v>
      </c>
      <c r="E14" s="231">
        <v>144</v>
      </c>
      <c r="F14" s="214" t="s">
        <v>33</v>
      </c>
      <c r="G14" s="210">
        <v>28</v>
      </c>
      <c r="H14" s="210">
        <v>782</v>
      </c>
      <c r="I14" s="211">
        <v>441.7</v>
      </c>
      <c r="J14" s="213" t="s">
        <v>7</v>
      </c>
      <c r="K14" s="48">
        <v>144</v>
      </c>
      <c r="L14" s="48">
        <f>441.7-240-144</f>
        <v>57.699999999999989</v>
      </c>
      <c r="M14" s="48"/>
      <c r="N14" s="49"/>
      <c r="O14" s="49"/>
      <c r="P14" s="49"/>
      <c r="Q14" s="50">
        <f t="shared" si="0"/>
        <v>201.7</v>
      </c>
      <c r="R14" s="55" t="str">
        <f t="shared" si="1"/>
        <v>LUC</v>
      </c>
      <c r="S14" s="183"/>
      <c r="T14" s="40">
        <v>80000</v>
      </c>
      <c r="U14" s="40">
        <f t="shared" si="3"/>
        <v>16136000</v>
      </c>
      <c r="V14" s="158" t="s">
        <v>64</v>
      </c>
      <c r="W14" s="241" t="s">
        <v>24</v>
      </c>
      <c r="X14" s="242">
        <f t="shared" si="10"/>
        <v>201.7</v>
      </c>
      <c r="Y14" s="267">
        <v>9000</v>
      </c>
      <c r="Z14" s="464">
        <v>1</v>
      </c>
      <c r="AA14" s="467">
        <v>1</v>
      </c>
      <c r="AB14" s="40">
        <f t="shared" si="4"/>
        <v>1815300</v>
      </c>
      <c r="AC14" s="40">
        <f t="shared" si="5"/>
        <v>80680000</v>
      </c>
      <c r="AD14" s="40">
        <f t="shared" si="6"/>
        <v>3025500</v>
      </c>
      <c r="AE14" s="40">
        <f t="shared" si="7"/>
        <v>0</v>
      </c>
      <c r="AF14" s="56">
        <f t="shared" si="8"/>
        <v>101656800</v>
      </c>
      <c r="AG14" s="504"/>
      <c r="AH14" s="69" t="s">
        <v>62</v>
      </c>
    </row>
    <row r="15" spans="1:249" ht="54" customHeight="1" x14ac:dyDescent="0.25">
      <c r="A15" s="94">
        <v>2</v>
      </c>
      <c r="B15" s="156" t="s">
        <v>196</v>
      </c>
      <c r="C15" s="490" t="s">
        <v>40</v>
      </c>
      <c r="D15" s="490"/>
      <c r="E15" s="491">
        <v>240</v>
      </c>
      <c r="F15" s="215" t="s">
        <v>46</v>
      </c>
      <c r="G15" s="210">
        <v>28</v>
      </c>
      <c r="H15" s="210">
        <v>779</v>
      </c>
      <c r="I15" s="211">
        <v>69.5</v>
      </c>
      <c r="J15" s="213" t="s">
        <v>43</v>
      </c>
      <c r="K15" s="48"/>
      <c r="L15" s="48">
        <f t="shared" si="9"/>
        <v>69.5</v>
      </c>
      <c r="M15" s="48"/>
      <c r="N15" s="49"/>
      <c r="O15" s="49"/>
      <c r="P15" s="49"/>
      <c r="Q15" s="50">
        <f t="shared" si="0"/>
        <v>69.5</v>
      </c>
      <c r="R15" s="55" t="s">
        <v>86</v>
      </c>
      <c r="S15" s="183"/>
      <c r="T15" s="40">
        <v>80000</v>
      </c>
      <c r="U15" s="40">
        <f t="shared" si="3"/>
        <v>5560000</v>
      </c>
      <c r="V15" s="240" t="s">
        <v>212</v>
      </c>
      <c r="W15" s="241" t="s">
        <v>61</v>
      </c>
      <c r="X15" s="242">
        <v>3</v>
      </c>
      <c r="Y15" s="267">
        <v>575000</v>
      </c>
      <c r="Z15" s="464">
        <v>1</v>
      </c>
      <c r="AA15" s="467">
        <v>0.8</v>
      </c>
      <c r="AB15" s="40">
        <f t="shared" si="4"/>
        <v>1380000</v>
      </c>
      <c r="AC15" s="40">
        <f t="shared" si="5"/>
        <v>27800000</v>
      </c>
      <c r="AD15" s="40">
        <f t="shared" si="6"/>
        <v>1042500</v>
      </c>
      <c r="AE15" s="40">
        <f t="shared" si="7"/>
        <v>0</v>
      </c>
      <c r="AF15" s="56">
        <f t="shared" si="8"/>
        <v>35782500</v>
      </c>
      <c r="AG15" s="504"/>
      <c r="AH15" s="69"/>
    </row>
    <row r="16" spans="1:249" ht="67.5" x14ac:dyDescent="0.25">
      <c r="A16" s="94">
        <v>2</v>
      </c>
      <c r="B16" s="156" t="s">
        <v>196</v>
      </c>
      <c r="C16" s="490"/>
      <c r="D16" s="490"/>
      <c r="E16" s="491"/>
      <c r="F16" s="215" t="s">
        <v>46</v>
      </c>
      <c r="G16" s="210">
        <v>28</v>
      </c>
      <c r="H16" s="210">
        <v>779</v>
      </c>
      <c r="I16" s="211"/>
      <c r="J16" s="213"/>
      <c r="K16" s="48"/>
      <c r="L16" s="48"/>
      <c r="M16" s="48"/>
      <c r="N16" s="49"/>
      <c r="O16" s="49"/>
      <c r="P16" s="49"/>
      <c r="Q16" s="50"/>
      <c r="R16" s="55"/>
      <c r="S16" s="183"/>
      <c r="T16" s="40"/>
      <c r="U16" s="40">
        <f t="shared" si="3"/>
        <v>0</v>
      </c>
      <c r="V16" s="240" t="s">
        <v>419</v>
      </c>
      <c r="W16" s="241" t="s">
        <v>61</v>
      </c>
      <c r="X16" s="242">
        <v>4</v>
      </c>
      <c r="Y16" s="267">
        <v>305000</v>
      </c>
      <c r="Z16" s="464">
        <v>0.9</v>
      </c>
      <c r="AA16" s="468">
        <v>0.8</v>
      </c>
      <c r="AB16" s="40">
        <f t="shared" si="4"/>
        <v>878400</v>
      </c>
      <c r="AC16" s="40">
        <f t="shared" si="5"/>
        <v>0</v>
      </c>
      <c r="AD16" s="40">
        <f t="shared" si="6"/>
        <v>0</v>
      </c>
      <c r="AE16" s="40">
        <f t="shared" si="7"/>
        <v>0</v>
      </c>
      <c r="AF16" s="56">
        <f t="shared" si="8"/>
        <v>878400</v>
      </c>
      <c r="AG16" s="504"/>
      <c r="AH16" s="264" t="s">
        <v>445</v>
      </c>
    </row>
    <row r="17" spans="1:34" ht="52.5" customHeight="1" x14ac:dyDescent="0.25">
      <c r="A17" s="94">
        <v>2</v>
      </c>
      <c r="B17" s="156" t="s">
        <v>196</v>
      </c>
      <c r="C17" s="490"/>
      <c r="D17" s="490"/>
      <c r="E17" s="491"/>
      <c r="F17" s="215" t="s">
        <v>46</v>
      </c>
      <c r="G17" s="210">
        <v>28</v>
      </c>
      <c r="H17" s="210">
        <v>780</v>
      </c>
      <c r="I17" s="211">
        <v>90.3</v>
      </c>
      <c r="J17" s="213" t="s">
        <v>43</v>
      </c>
      <c r="K17" s="48"/>
      <c r="L17" s="48">
        <f t="shared" si="9"/>
        <v>90.3</v>
      </c>
      <c r="M17" s="48"/>
      <c r="N17" s="49"/>
      <c r="O17" s="49"/>
      <c r="P17" s="49"/>
      <c r="Q17" s="50">
        <f t="shared" si="0"/>
        <v>90.3</v>
      </c>
      <c r="R17" s="55" t="s">
        <v>86</v>
      </c>
      <c r="S17" s="183"/>
      <c r="T17" s="40">
        <v>80000</v>
      </c>
      <c r="U17" s="40">
        <f t="shared" si="3"/>
        <v>7224000</v>
      </c>
      <c r="V17" s="240" t="s">
        <v>212</v>
      </c>
      <c r="W17" s="241" t="s">
        <v>61</v>
      </c>
      <c r="X17" s="242">
        <v>4</v>
      </c>
      <c r="Y17" s="267">
        <v>575000</v>
      </c>
      <c r="Z17" s="464">
        <v>1</v>
      </c>
      <c r="AA17" s="467">
        <v>0.8</v>
      </c>
      <c r="AB17" s="40">
        <f t="shared" si="4"/>
        <v>1840000</v>
      </c>
      <c r="AC17" s="40">
        <f t="shared" si="5"/>
        <v>36120000</v>
      </c>
      <c r="AD17" s="40">
        <f t="shared" si="6"/>
        <v>1354500</v>
      </c>
      <c r="AE17" s="40">
        <f t="shared" si="7"/>
        <v>0</v>
      </c>
      <c r="AF17" s="56">
        <f t="shared" si="8"/>
        <v>46538500</v>
      </c>
      <c r="AG17" s="504"/>
      <c r="AH17" s="6"/>
    </row>
    <row r="18" spans="1:34" ht="67.5" x14ac:dyDescent="0.25">
      <c r="A18" s="94">
        <v>2</v>
      </c>
      <c r="B18" s="156" t="s">
        <v>196</v>
      </c>
      <c r="C18" s="490"/>
      <c r="D18" s="490"/>
      <c r="E18" s="491"/>
      <c r="F18" s="215" t="s">
        <v>46</v>
      </c>
      <c r="G18" s="210">
        <v>28</v>
      </c>
      <c r="H18" s="210">
        <v>780</v>
      </c>
      <c r="I18" s="211"/>
      <c r="J18" s="213"/>
      <c r="K18" s="48"/>
      <c r="L18" s="48"/>
      <c r="M18" s="48"/>
      <c r="N18" s="49"/>
      <c r="O18" s="49"/>
      <c r="P18" s="49"/>
      <c r="Q18" s="50"/>
      <c r="R18" s="55"/>
      <c r="S18" s="183"/>
      <c r="T18" s="40"/>
      <c r="U18" s="40">
        <f t="shared" si="3"/>
        <v>0</v>
      </c>
      <c r="V18" s="240" t="s">
        <v>197</v>
      </c>
      <c r="W18" s="241" t="s">
        <v>61</v>
      </c>
      <c r="X18" s="242">
        <v>9</v>
      </c>
      <c r="Y18" s="267">
        <v>305000</v>
      </c>
      <c r="Z18" s="464">
        <v>0.8</v>
      </c>
      <c r="AA18" s="469">
        <v>0.8</v>
      </c>
      <c r="AB18" s="40">
        <f t="shared" si="4"/>
        <v>1756800</v>
      </c>
      <c r="AC18" s="40">
        <f t="shared" si="5"/>
        <v>0</v>
      </c>
      <c r="AD18" s="40">
        <f t="shared" si="6"/>
        <v>0</v>
      </c>
      <c r="AE18" s="40">
        <f t="shared" si="7"/>
        <v>0</v>
      </c>
      <c r="AF18" s="56">
        <f t="shared" si="8"/>
        <v>1756800</v>
      </c>
      <c r="AG18" s="504"/>
      <c r="AH18" s="264" t="s">
        <v>446</v>
      </c>
    </row>
    <row r="19" spans="1:34" ht="30" customHeight="1" x14ac:dyDescent="0.25">
      <c r="A19" s="94">
        <v>2</v>
      </c>
      <c r="B19" s="156" t="s">
        <v>196</v>
      </c>
      <c r="C19" s="490"/>
      <c r="D19" s="490"/>
      <c r="E19" s="491"/>
      <c r="F19" s="215" t="s">
        <v>46</v>
      </c>
      <c r="G19" s="210">
        <v>28</v>
      </c>
      <c r="H19" s="210">
        <v>731</v>
      </c>
      <c r="I19" s="211">
        <v>171.8</v>
      </c>
      <c r="J19" s="213" t="s">
        <v>43</v>
      </c>
      <c r="K19" s="48"/>
      <c r="L19" s="48">
        <v>106.2</v>
      </c>
      <c r="M19" s="48"/>
      <c r="N19" s="49"/>
      <c r="O19" s="49"/>
      <c r="P19" s="49"/>
      <c r="Q19" s="50">
        <f t="shared" ref="Q19" si="11">K19+L19+M19+N19+O19+P19</f>
        <v>106.2</v>
      </c>
      <c r="R19" s="55" t="s">
        <v>86</v>
      </c>
      <c r="S19" s="183"/>
      <c r="T19" s="40">
        <v>80000</v>
      </c>
      <c r="U19" s="40">
        <f t="shared" si="3"/>
        <v>8496000</v>
      </c>
      <c r="V19" s="96" t="s">
        <v>64</v>
      </c>
      <c r="W19" s="241" t="s">
        <v>24</v>
      </c>
      <c r="X19" s="242">
        <f>Q19</f>
        <v>106.2</v>
      </c>
      <c r="Y19" s="267">
        <v>9000</v>
      </c>
      <c r="Z19" s="464">
        <v>1</v>
      </c>
      <c r="AA19" s="467">
        <v>1</v>
      </c>
      <c r="AB19" s="40">
        <f t="shared" si="4"/>
        <v>955800</v>
      </c>
      <c r="AC19" s="40">
        <f t="shared" si="5"/>
        <v>42480000</v>
      </c>
      <c r="AD19" s="40">
        <f t="shared" si="6"/>
        <v>1593000</v>
      </c>
      <c r="AE19" s="40">
        <f t="shared" si="7"/>
        <v>0</v>
      </c>
      <c r="AF19" s="56">
        <f t="shared" si="8"/>
        <v>53524800</v>
      </c>
      <c r="AG19" s="504"/>
      <c r="AH19" s="69" t="s">
        <v>436</v>
      </c>
    </row>
    <row r="20" spans="1:34" ht="30" customHeight="1" x14ac:dyDescent="0.25">
      <c r="A20" s="94">
        <v>3</v>
      </c>
      <c r="B20" s="95" t="s">
        <v>200</v>
      </c>
      <c r="C20" s="251">
        <v>5</v>
      </c>
      <c r="D20" s="251">
        <v>34</v>
      </c>
      <c r="E20" s="231">
        <v>480</v>
      </c>
      <c r="F20" s="214" t="s">
        <v>33</v>
      </c>
      <c r="G20" s="210">
        <v>29</v>
      </c>
      <c r="H20" s="210">
        <v>23</v>
      </c>
      <c r="I20" s="211">
        <v>435.6</v>
      </c>
      <c r="J20" s="213" t="s">
        <v>7</v>
      </c>
      <c r="K20" s="48">
        <v>435.6</v>
      </c>
      <c r="L20" s="48"/>
      <c r="M20" s="48"/>
      <c r="N20" s="49"/>
      <c r="O20" s="49"/>
      <c r="P20" s="49"/>
      <c r="Q20" s="50">
        <f t="shared" si="0"/>
        <v>435.6</v>
      </c>
      <c r="R20" s="55" t="str">
        <f t="shared" si="1"/>
        <v>LUC</v>
      </c>
      <c r="S20" s="183"/>
      <c r="T20" s="40">
        <v>80000</v>
      </c>
      <c r="U20" s="40">
        <f t="shared" si="3"/>
        <v>34848000</v>
      </c>
      <c r="V20" s="96" t="s">
        <v>64</v>
      </c>
      <c r="W20" s="241" t="s">
        <v>24</v>
      </c>
      <c r="X20" s="242">
        <f t="shared" ref="X20:X33" si="12">Q20</f>
        <v>435.6</v>
      </c>
      <c r="Y20" s="267">
        <v>9000</v>
      </c>
      <c r="Z20" s="464">
        <v>1</v>
      </c>
      <c r="AA20" s="467">
        <v>1</v>
      </c>
      <c r="AB20" s="40">
        <f t="shared" si="4"/>
        <v>3920400</v>
      </c>
      <c r="AC20" s="40">
        <f t="shared" si="5"/>
        <v>174240000</v>
      </c>
      <c r="AD20" s="40">
        <f t="shared" si="6"/>
        <v>6534000</v>
      </c>
      <c r="AE20" s="40">
        <f t="shared" si="7"/>
        <v>0</v>
      </c>
      <c r="AF20" s="56">
        <f t="shared" si="8"/>
        <v>219542400</v>
      </c>
      <c r="AG20" s="504">
        <f>SUM(AF20:AF23)</f>
        <v>651268800</v>
      </c>
      <c r="AH20" s="69"/>
    </row>
    <row r="21" spans="1:34" ht="30" customHeight="1" x14ac:dyDescent="0.25">
      <c r="A21" s="94">
        <v>3</v>
      </c>
      <c r="B21" s="95" t="s">
        <v>200</v>
      </c>
      <c r="C21" s="251">
        <v>5</v>
      </c>
      <c r="D21" s="251">
        <v>30</v>
      </c>
      <c r="E21" s="231">
        <v>192</v>
      </c>
      <c r="F21" s="214" t="s">
        <v>33</v>
      </c>
      <c r="G21" s="210">
        <v>29</v>
      </c>
      <c r="H21" s="210">
        <v>39</v>
      </c>
      <c r="I21" s="211">
        <v>293.89999999999998</v>
      </c>
      <c r="J21" s="213" t="s">
        <v>7</v>
      </c>
      <c r="K21" s="48">
        <v>192</v>
      </c>
      <c r="L21" s="48">
        <f>I21-K21</f>
        <v>101.89999999999998</v>
      </c>
      <c r="M21" s="48"/>
      <c r="N21" s="49"/>
      <c r="O21" s="49"/>
      <c r="P21" s="49"/>
      <c r="Q21" s="50">
        <f t="shared" si="0"/>
        <v>293.89999999999998</v>
      </c>
      <c r="R21" s="55" t="str">
        <f t="shared" si="1"/>
        <v>LUC</v>
      </c>
      <c r="S21" s="183"/>
      <c r="T21" s="40">
        <v>80000</v>
      </c>
      <c r="U21" s="40">
        <f t="shared" si="3"/>
        <v>23512000</v>
      </c>
      <c r="V21" s="96" t="s">
        <v>64</v>
      </c>
      <c r="W21" s="241" t="s">
        <v>24</v>
      </c>
      <c r="X21" s="242">
        <f t="shared" si="12"/>
        <v>293.89999999999998</v>
      </c>
      <c r="Y21" s="267">
        <v>9000</v>
      </c>
      <c r="Z21" s="464">
        <v>1</v>
      </c>
      <c r="AA21" s="467">
        <v>1</v>
      </c>
      <c r="AB21" s="40">
        <f t="shared" si="4"/>
        <v>2645100</v>
      </c>
      <c r="AC21" s="40">
        <f t="shared" si="5"/>
        <v>117560000</v>
      </c>
      <c r="AD21" s="40">
        <f t="shared" si="6"/>
        <v>4408500</v>
      </c>
      <c r="AE21" s="40">
        <f t="shared" si="7"/>
        <v>0</v>
      </c>
      <c r="AF21" s="56">
        <f t="shared" si="8"/>
        <v>148125600</v>
      </c>
      <c r="AG21" s="504"/>
      <c r="AH21" s="44"/>
    </row>
    <row r="22" spans="1:34" ht="30" customHeight="1" x14ac:dyDescent="0.25">
      <c r="A22" s="94">
        <v>3</v>
      </c>
      <c r="B22" s="95" t="s">
        <v>200</v>
      </c>
      <c r="C22" s="251">
        <v>5</v>
      </c>
      <c r="D22" s="251">
        <v>98</v>
      </c>
      <c r="E22" s="231">
        <v>288</v>
      </c>
      <c r="F22" s="215" t="s">
        <v>201</v>
      </c>
      <c r="G22" s="210">
        <v>28</v>
      </c>
      <c r="H22" s="210">
        <v>723</v>
      </c>
      <c r="I22" s="211">
        <v>498.1</v>
      </c>
      <c r="J22" s="213" t="s">
        <v>7</v>
      </c>
      <c r="K22" s="48">
        <v>288</v>
      </c>
      <c r="L22" s="48">
        <f>I22-K22</f>
        <v>210.10000000000002</v>
      </c>
      <c r="M22" s="48"/>
      <c r="N22" s="49"/>
      <c r="O22" s="49"/>
      <c r="P22" s="49"/>
      <c r="Q22" s="50">
        <f t="shared" si="0"/>
        <v>498.1</v>
      </c>
      <c r="R22" s="55" t="str">
        <f t="shared" si="1"/>
        <v>LUC</v>
      </c>
      <c r="S22" s="183"/>
      <c r="T22" s="40">
        <v>80000</v>
      </c>
      <c r="U22" s="40">
        <f t="shared" si="3"/>
        <v>39848000</v>
      </c>
      <c r="V22" s="96" t="s">
        <v>64</v>
      </c>
      <c r="W22" s="241" t="s">
        <v>24</v>
      </c>
      <c r="X22" s="242">
        <f t="shared" si="12"/>
        <v>498.1</v>
      </c>
      <c r="Y22" s="267">
        <v>9000</v>
      </c>
      <c r="Z22" s="464">
        <v>1</v>
      </c>
      <c r="AA22" s="467">
        <v>1</v>
      </c>
      <c r="AB22" s="40">
        <f t="shared" si="4"/>
        <v>4482900</v>
      </c>
      <c r="AC22" s="40">
        <f t="shared" si="5"/>
        <v>199240000</v>
      </c>
      <c r="AD22" s="40">
        <f t="shared" si="6"/>
        <v>7471500</v>
      </c>
      <c r="AE22" s="40">
        <f t="shared" si="7"/>
        <v>0</v>
      </c>
      <c r="AF22" s="56">
        <f t="shared" si="8"/>
        <v>251042400</v>
      </c>
      <c r="AG22" s="504"/>
      <c r="AH22" s="6"/>
    </row>
    <row r="23" spans="1:34" ht="30" customHeight="1" x14ac:dyDescent="0.25">
      <c r="A23" s="94">
        <v>3</v>
      </c>
      <c r="B23" s="95" t="s">
        <v>200</v>
      </c>
      <c r="C23" s="251"/>
      <c r="D23" s="251"/>
      <c r="E23" s="231"/>
      <c r="F23" s="215" t="s">
        <v>46</v>
      </c>
      <c r="G23" s="210">
        <v>28</v>
      </c>
      <c r="H23" s="210">
        <v>781</v>
      </c>
      <c r="I23" s="211">
        <v>64.599999999999994</v>
      </c>
      <c r="J23" s="213" t="s">
        <v>43</v>
      </c>
      <c r="K23" s="48"/>
      <c r="L23" s="48">
        <f>I23-K23</f>
        <v>64.599999999999994</v>
      </c>
      <c r="M23" s="48"/>
      <c r="N23" s="49"/>
      <c r="O23" s="49"/>
      <c r="P23" s="49"/>
      <c r="Q23" s="50">
        <f t="shared" si="0"/>
        <v>64.599999999999994</v>
      </c>
      <c r="R23" s="55" t="s">
        <v>86</v>
      </c>
      <c r="S23" s="183"/>
      <c r="T23" s="40">
        <v>80000</v>
      </c>
      <c r="U23" s="40">
        <f t="shared" si="3"/>
        <v>5168000</v>
      </c>
      <c r="V23" s="96" t="s">
        <v>64</v>
      </c>
      <c r="W23" s="241" t="s">
        <v>24</v>
      </c>
      <c r="X23" s="242">
        <f t="shared" si="12"/>
        <v>64.599999999999994</v>
      </c>
      <c r="Y23" s="267">
        <v>9000</v>
      </c>
      <c r="Z23" s="464">
        <v>1</v>
      </c>
      <c r="AA23" s="467">
        <v>1</v>
      </c>
      <c r="AB23" s="40">
        <f t="shared" si="4"/>
        <v>581400</v>
      </c>
      <c r="AC23" s="40">
        <f t="shared" si="5"/>
        <v>25840000</v>
      </c>
      <c r="AD23" s="40">
        <f t="shared" si="6"/>
        <v>968999.99999999988</v>
      </c>
      <c r="AE23" s="40">
        <f t="shared" si="7"/>
        <v>0</v>
      </c>
      <c r="AF23" s="56">
        <f t="shared" si="8"/>
        <v>32558400</v>
      </c>
      <c r="AG23" s="504"/>
      <c r="AH23" s="69"/>
    </row>
    <row r="24" spans="1:34" ht="33.75" x14ac:dyDescent="0.25">
      <c r="A24" s="94">
        <v>4</v>
      </c>
      <c r="B24" s="95" t="s">
        <v>202</v>
      </c>
      <c r="C24" s="246">
        <v>5</v>
      </c>
      <c r="D24" s="246">
        <v>87</v>
      </c>
      <c r="E24" s="247">
        <v>720</v>
      </c>
      <c r="F24" s="214" t="s">
        <v>33</v>
      </c>
      <c r="G24" s="210">
        <v>28</v>
      </c>
      <c r="H24" s="210">
        <v>460</v>
      </c>
      <c r="I24" s="211">
        <v>802.8</v>
      </c>
      <c r="J24" s="213" t="s">
        <v>7</v>
      </c>
      <c r="K24" s="48">
        <v>720</v>
      </c>
      <c r="L24" s="48">
        <f>762.8-720</f>
        <v>42.799999999999955</v>
      </c>
      <c r="M24" s="48"/>
      <c r="N24" s="49"/>
      <c r="O24" s="49"/>
      <c r="P24" s="49"/>
      <c r="Q24" s="50">
        <f t="shared" si="0"/>
        <v>762.8</v>
      </c>
      <c r="R24" s="55" t="str">
        <f t="shared" si="1"/>
        <v>LUC</v>
      </c>
      <c r="S24" s="183"/>
      <c r="T24" s="40">
        <v>80000</v>
      </c>
      <c r="U24" s="40">
        <f t="shared" si="3"/>
        <v>61024000</v>
      </c>
      <c r="V24" s="96" t="s">
        <v>64</v>
      </c>
      <c r="W24" s="241" t="s">
        <v>24</v>
      </c>
      <c r="X24" s="242">
        <f t="shared" si="12"/>
        <v>762.8</v>
      </c>
      <c r="Y24" s="267">
        <v>9000</v>
      </c>
      <c r="Z24" s="464">
        <v>1</v>
      </c>
      <c r="AA24" s="467">
        <v>1</v>
      </c>
      <c r="AB24" s="40">
        <f t="shared" si="4"/>
        <v>6865200</v>
      </c>
      <c r="AC24" s="40">
        <f t="shared" si="5"/>
        <v>305120000</v>
      </c>
      <c r="AD24" s="40">
        <f t="shared" si="6"/>
        <v>11442000</v>
      </c>
      <c r="AE24" s="40">
        <f t="shared" si="7"/>
        <v>0</v>
      </c>
      <c r="AF24" s="56">
        <f t="shared" si="8"/>
        <v>384451200</v>
      </c>
      <c r="AG24" s="504">
        <f>SUM(AF24:AF26)</f>
        <v>780040800</v>
      </c>
      <c r="AH24" s="69" t="s">
        <v>314</v>
      </c>
    </row>
    <row r="25" spans="1:34" ht="30" customHeight="1" x14ac:dyDescent="0.25">
      <c r="A25" s="94">
        <v>4</v>
      </c>
      <c r="B25" s="95" t="s">
        <v>202</v>
      </c>
      <c r="C25" s="246">
        <v>5</v>
      </c>
      <c r="D25" s="246">
        <v>98</v>
      </c>
      <c r="E25" s="247">
        <v>360</v>
      </c>
      <c r="F25" s="215" t="s">
        <v>201</v>
      </c>
      <c r="G25" s="210">
        <v>28</v>
      </c>
      <c r="H25" s="238">
        <v>732</v>
      </c>
      <c r="I25" s="239">
        <v>408.1</v>
      </c>
      <c r="J25" s="213" t="s">
        <v>7</v>
      </c>
      <c r="K25" s="48">
        <v>360</v>
      </c>
      <c r="L25" s="48">
        <f>I25-K25</f>
        <v>48.100000000000023</v>
      </c>
      <c r="M25" s="48"/>
      <c r="N25" s="49"/>
      <c r="O25" s="49"/>
      <c r="P25" s="49"/>
      <c r="Q25" s="50">
        <f t="shared" si="0"/>
        <v>408.1</v>
      </c>
      <c r="R25" s="55" t="str">
        <f t="shared" si="1"/>
        <v>LUC</v>
      </c>
      <c r="S25" s="183"/>
      <c r="T25" s="40">
        <v>80000</v>
      </c>
      <c r="U25" s="40">
        <f t="shared" si="3"/>
        <v>32648000</v>
      </c>
      <c r="V25" s="96" t="s">
        <v>64</v>
      </c>
      <c r="W25" s="241" t="s">
        <v>24</v>
      </c>
      <c r="X25" s="242">
        <f t="shared" si="12"/>
        <v>408.1</v>
      </c>
      <c r="Y25" s="267">
        <v>9000</v>
      </c>
      <c r="Z25" s="464">
        <v>1</v>
      </c>
      <c r="AA25" s="467">
        <v>1</v>
      </c>
      <c r="AB25" s="40">
        <f t="shared" si="4"/>
        <v>3672900</v>
      </c>
      <c r="AC25" s="40">
        <f t="shared" si="5"/>
        <v>163240000</v>
      </c>
      <c r="AD25" s="40">
        <f t="shared" si="6"/>
        <v>6121500</v>
      </c>
      <c r="AE25" s="40">
        <f t="shared" si="7"/>
        <v>0</v>
      </c>
      <c r="AF25" s="56">
        <f t="shared" si="8"/>
        <v>205682400</v>
      </c>
      <c r="AG25" s="504"/>
      <c r="AH25" s="6"/>
    </row>
    <row r="26" spans="1:34" ht="30" customHeight="1" x14ac:dyDescent="0.25">
      <c r="A26" s="94">
        <v>4</v>
      </c>
      <c r="B26" s="95" t="s">
        <v>202</v>
      </c>
      <c r="C26" s="246"/>
      <c r="D26" s="246"/>
      <c r="E26" s="247"/>
      <c r="F26" s="214" t="s">
        <v>33</v>
      </c>
      <c r="G26" s="210">
        <v>28</v>
      </c>
      <c r="H26" s="210">
        <v>680</v>
      </c>
      <c r="I26" s="211">
        <v>376.8</v>
      </c>
      <c r="J26" s="213" t="s">
        <v>7</v>
      </c>
      <c r="K26" s="48"/>
      <c r="L26" s="48">
        <f>I26-K26</f>
        <v>376.8</v>
      </c>
      <c r="M26" s="48"/>
      <c r="N26" s="49"/>
      <c r="O26" s="49"/>
      <c r="P26" s="49"/>
      <c r="Q26" s="50">
        <f t="shared" si="0"/>
        <v>376.8</v>
      </c>
      <c r="R26" s="55" t="str">
        <f t="shared" si="1"/>
        <v>LUC</v>
      </c>
      <c r="S26" s="183"/>
      <c r="T26" s="40">
        <v>80000</v>
      </c>
      <c r="U26" s="40">
        <f t="shared" si="3"/>
        <v>30144000</v>
      </c>
      <c r="V26" s="96" t="s">
        <v>64</v>
      </c>
      <c r="W26" s="241" t="s">
        <v>24</v>
      </c>
      <c r="X26" s="242">
        <f t="shared" si="12"/>
        <v>376.8</v>
      </c>
      <c r="Y26" s="267">
        <v>9000</v>
      </c>
      <c r="Z26" s="464">
        <v>1</v>
      </c>
      <c r="AA26" s="467">
        <v>1</v>
      </c>
      <c r="AB26" s="40">
        <f t="shared" si="4"/>
        <v>3391200</v>
      </c>
      <c r="AC26" s="40">
        <f t="shared" si="5"/>
        <v>150720000</v>
      </c>
      <c r="AD26" s="40">
        <f t="shared" si="6"/>
        <v>5652000</v>
      </c>
      <c r="AE26" s="40">
        <f t="shared" si="7"/>
        <v>0</v>
      </c>
      <c r="AF26" s="56">
        <f t="shared" si="8"/>
        <v>189907200</v>
      </c>
      <c r="AG26" s="504"/>
      <c r="AH26" s="6" t="s">
        <v>104</v>
      </c>
    </row>
    <row r="27" spans="1:34" ht="32.25" customHeight="1" x14ac:dyDescent="0.25">
      <c r="A27" s="94">
        <v>5</v>
      </c>
      <c r="B27" s="266" t="s">
        <v>203</v>
      </c>
      <c r="C27" s="251">
        <v>5</v>
      </c>
      <c r="D27" s="251">
        <v>66</v>
      </c>
      <c r="E27" s="231">
        <v>288</v>
      </c>
      <c r="F27" s="214" t="s">
        <v>33</v>
      </c>
      <c r="G27" s="210">
        <v>28</v>
      </c>
      <c r="H27" s="210">
        <v>681</v>
      </c>
      <c r="I27" s="211">
        <v>422.2</v>
      </c>
      <c r="J27" s="213" t="s">
        <v>7</v>
      </c>
      <c r="K27" s="48">
        <v>288</v>
      </c>
      <c r="L27" s="48">
        <f>I27-K27</f>
        <v>134.19999999999999</v>
      </c>
      <c r="M27" s="48"/>
      <c r="N27" s="49"/>
      <c r="O27" s="49"/>
      <c r="P27" s="49"/>
      <c r="Q27" s="50">
        <f t="shared" si="0"/>
        <v>422.2</v>
      </c>
      <c r="R27" s="55" t="str">
        <f t="shared" si="1"/>
        <v>LUC</v>
      </c>
      <c r="S27" s="183"/>
      <c r="T27" s="40">
        <v>80000</v>
      </c>
      <c r="U27" s="40">
        <f t="shared" si="3"/>
        <v>33776000</v>
      </c>
      <c r="V27" s="96" t="s">
        <v>64</v>
      </c>
      <c r="W27" s="241" t="s">
        <v>24</v>
      </c>
      <c r="X27" s="242">
        <f t="shared" si="12"/>
        <v>422.2</v>
      </c>
      <c r="Y27" s="267">
        <v>9000</v>
      </c>
      <c r="Z27" s="464">
        <v>1</v>
      </c>
      <c r="AA27" s="467">
        <v>1</v>
      </c>
      <c r="AB27" s="40">
        <f t="shared" si="4"/>
        <v>3799800</v>
      </c>
      <c r="AC27" s="40">
        <f t="shared" si="5"/>
        <v>168880000</v>
      </c>
      <c r="AD27" s="40">
        <f t="shared" si="6"/>
        <v>6333000</v>
      </c>
      <c r="AE27" s="40">
        <f t="shared" si="7"/>
        <v>0</v>
      </c>
      <c r="AF27" s="56">
        <f t="shared" si="8"/>
        <v>212788800</v>
      </c>
      <c r="AG27" s="504">
        <f>AF27+AF28</f>
        <v>394380000</v>
      </c>
      <c r="AH27" s="69"/>
    </row>
    <row r="28" spans="1:34" ht="32.25" customHeight="1" x14ac:dyDescent="0.25">
      <c r="A28" s="94">
        <v>5</v>
      </c>
      <c r="B28" s="266" t="s">
        <v>203</v>
      </c>
      <c r="C28" s="251"/>
      <c r="D28" s="251"/>
      <c r="E28" s="231"/>
      <c r="F28" s="97" t="s">
        <v>201</v>
      </c>
      <c r="G28" s="210">
        <v>28</v>
      </c>
      <c r="H28" s="210">
        <v>733</v>
      </c>
      <c r="I28" s="211">
        <v>360.3</v>
      </c>
      <c r="J28" s="213" t="s">
        <v>7</v>
      </c>
      <c r="K28" s="48"/>
      <c r="L28" s="48">
        <f>I28-K28</f>
        <v>360.3</v>
      </c>
      <c r="M28" s="48"/>
      <c r="N28" s="49"/>
      <c r="O28" s="49"/>
      <c r="P28" s="49"/>
      <c r="Q28" s="50">
        <f t="shared" si="0"/>
        <v>360.3</v>
      </c>
      <c r="R28" s="55" t="str">
        <f t="shared" si="1"/>
        <v>LUC</v>
      </c>
      <c r="S28" s="183"/>
      <c r="T28" s="40">
        <v>80000</v>
      </c>
      <c r="U28" s="40">
        <f t="shared" si="3"/>
        <v>28824000</v>
      </c>
      <c r="V28" s="96" t="s">
        <v>64</v>
      </c>
      <c r="W28" s="241" t="s">
        <v>24</v>
      </c>
      <c r="X28" s="242">
        <f t="shared" si="12"/>
        <v>360.3</v>
      </c>
      <c r="Y28" s="267">
        <v>9000</v>
      </c>
      <c r="Z28" s="464">
        <v>1</v>
      </c>
      <c r="AA28" s="467">
        <v>1</v>
      </c>
      <c r="AB28" s="40">
        <f t="shared" si="4"/>
        <v>3242700</v>
      </c>
      <c r="AC28" s="40">
        <f t="shared" si="5"/>
        <v>144120000</v>
      </c>
      <c r="AD28" s="40">
        <f t="shared" si="6"/>
        <v>5404500</v>
      </c>
      <c r="AE28" s="40">
        <f t="shared" si="7"/>
        <v>0</v>
      </c>
      <c r="AF28" s="56">
        <f t="shared" si="8"/>
        <v>181591200</v>
      </c>
      <c r="AG28" s="504"/>
      <c r="AH28" s="69" t="s">
        <v>305</v>
      </c>
    </row>
    <row r="29" spans="1:34" ht="30" customHeight="1" x14ac:dyDescent="0.25">
      <c r="A29" s="94">
        <v>6</v>
      </c>
      <c r="B29" s="95" t="s">
        <v>204</v>
      </c>
      <c r="C29" s="246">
        <v>5</v>
      </c>
      <c r="D29" s="246">
        <v>65</v>
      </c>
      <c r="E29" s="216">
        <v>456</v>
      </c>
      <c r="F29" s="214" t="s">
        <v>33</v>
      </c>
      <c r="G29" s="210">
        <v>28</v>
      </c>
      <c r="H29" s="210">
        <v>727</v>
      </c>
      <c r="I29" s="211">
        <v>785.4</v>
      </c>
      <c r="J29" s="213" t="s">
        <v>7</v>
      </c>
      <c r="K29" s="48">
        <v>456</v>
      </c>
      <c r="L29" s="48">
        <f>I29-K29</f>
        <v>329.4</v>
      </c>
      <c r="M29" s="48"/>
      <c r="N29" s="49"/>
      <c r="O29" s="49"/>
      <c r="P29" s="49"/>
      <c r="Q29" s="50">
        <f t="shared" si="0"/>
        <v>785.4</v>
      </c>
      <c r="R29" s="55" t="str">
        <f t="shared" si="1"/>
        <v>LUC</v>
      </c>
      <c r="S29" s="183"/>
      <c r="T29" s="40">
        <v>80000</v>
      </c>
      <c r="U29" s="40">
        <f t="shared" si="3"/>
        <v>62832000</v>
      </c>
      <c r="V29" s="96" t="s">
        <v>64</v>
      </c>
      <c r="W29" s="241" t="s">
        <v>24</v>
      </c>
      <c r="X29" s="242">
        <f t="shared" si="12"/>
        <v>785.4</v>
      </c>
      <c r="Y29" s="267">
        <v>9000</v>
      </c>
      <c r="Z29" s="464">
        <v>1</v>
      </c>
      <c r="AA29" s="467">
        <v>1</v>
      </c>
      <c r="AB29" s="40">
        <f t="shared" si="4"/>
        <v>7068600</v>
      </c>
      <c r="AC29" s="40">
        <f t="shared" si="5"/>
        <v>314160000</v>
      </c>
      <c r="AD29" s="40">
        <f t="shared" si="6"/>
        <v>11781000</v>
      </c>
      <c r="AE29" s="40">
        <f t="shared" si="7"/>
        <v>0</v>
      </c>
      <c r="AF29" s="56">
        <f t="shared" si="8"/>
        <v>395841600</v>
      </c>
      <c r="AG29" s="504">
        <f>SUM(AF29:AF31)</f>
        <v>719913600</v>
      </c>
      <c r="AH29" s="69"/>
    </row>
    <row r="30" spans="1:34" ht="51" customHeight="1" x14ac:dyDescent="0.25">
      <c r="A30" s="94">
        <v>6</v>
      </c>
      <c r="B30" s="95" t="s">
        <v>204</v>
      </c>
      <c r="C30" s="246">
        <v>5</v>
      </c>
      <c r="D30" s="246">
        <v>103</v>
      </c>
      <c r="E30" s="247">
        <v>744</v>
      </c>
      <c r="F30" s="215" t="s">
        <v>205</v>
      </c>
      <c r="G30" s="210">
        <v>28</v>
      </c>
      <c r="H30" s="210">
        <v>459</v>
      </c>
      <c r="I30" s="211">
        <v>747.2</v>
      </c>
      <c r="J30" s="213" t="s">
        <v>7</v>
      </c>
      <c r="K30" s="48">
        <v>515.9</v>
      </c>
      <c r="L30" s="48"/>
      <c r="M30" s="48"/>
      <c r="N30" s="49"/>
      <c r="O30" s="49"/>
      <c r="P30" s="49"/>
      <c r="Q30" s="50">
        <f t="shared" si="0"/>
        <v>515.9</v>
      </c>
      <c r="R30" s="55" t="str">
        <f t="shared" si="1"/>
        <v>LUC</v>
      </c>
      <c r="S30" s="183"/>
      <c r="T30" s="40">
        <v>80000</v>
      </c>
      <c r="U30" s="40">
        <f t="shared" si="3"/>
        <v>41272000</v>
      </c>
      <c r="V30" s="96" t="s">
        <v>64</v>
      </c>
      <c r="W30" s="241" t="s">
        <v>24</v>
      </c>
      <c r="X30" s="242">
        <f t="shared" si="12"/>
        <v>515.9</v>
      </c>
      <c r="Y30" s="267">
        <v>9000</v>
      </c>
      <c r="Z30" s="464">
        <v>1</v>
      </c>
      <c r="AA30" s="467">
        <v>1</v>
      </c>
      <c r="AB30" s="40">
        <f t="shared" si="4"/>
        <v>4643100</v>
      </c>
      <c r="AC30" s="40">
        <f t="shared" si="5"/>
        <v>206360000</v>
      </c>
      <c r="AD30" s="40">
        <f t="shared" si="6"/>
        <v>7738500</v>
      </c>
      <c r="AE30" s="40">
        <f t="shared" si="7"/>
        <v>0</v>
      </c>
      <c r="AF30" s="56">
        <f t="shared" si="8"/>
        <v>260013600</v>
      </c>
      <c r="AG30" s="504"/>
      <c r="AH30" s="69" t="s">
        <v>206</v>
      </c>
    </row>
    <row r="31" spans="1:34" ht="51" customHeight="1" x14ac:dyDescent="0.25">
      <c r="A31" s="94">
        <v>6</v>
      </c>
      <c r="B31" s="95" t="s">
        <v>204</v>
      </c>
      <c r="C31" s="246"/>
      <c r="D31" s="246"/>
      <c r="E31" s="247"/>
      <c r="F31" s="214" t="s">
        <v>44</v>
      </c>
      <c r="G31" s="210">
        <v>28</v>
      </c>
      <c r="H31" s="210">
        <v>464</v>
      </c>
      <c r="I31" s="211">
        <v>127.1</v>
      </c>
      <c r="J31" s="213" t="s">
        <v>48</v>
      </c>
      <c r="K31" s="48"/>
      <c r="L31" s="48">
        <v>97.8</v>
      </c>
      <c r="M31" s="48"/>
      <c r="N31" s="49"/>
      <c r="O31" s="49">
        <f>I31-L31</f>
        <v>29.299999999999997</v>
      </c>
      <c r="P31" s="49"/>
      <c r="Q31" s="50">
        <f t="shared" si="0"/>
        <v>127.1</v>
      </c>
      <c r="R31" s="55" t="str">
        <f t="shared" si="1"/>
        <v>LUK</v>
      </c>
      <c r="S31" s="183"/>
      <c r="T31" s="40">
        <v>80000</v>
      </c>
      <c r="U31" s="40">
        <f t="shared" si="3"/>
        <v>10168000</v>
      </c>
      <c r="V31" s="96" t="s">
        <v>64</v>
      </c>
      <c r="W31" s="241" t="s">
        <v>24</v>
      </c>
      <c r="X31" s="242">
        <f t="shared" si="12"/>
        <v>127.1</v>
      </c>
      <c r="Y31" s="267">
        <v>9000</v>
      </c>
      <c r="Z31" s="464">
        <v>1</v>
      </c>
      <c r="AA31" s="467">
        <v>1</v>
      </c>
      <c r="AB31" s="40">
        <f t="shared" si="4"/>
        <v>1143900</v>
      </c>
      <c r="AC31" s="40">
        <f t="shared" si="5"/>
        <v>50840000</v>
      </c>
      <c r="AD31" s="40">
        <f t="shared" si="6"/>
        <v>1906500</v>
      </c>
      <c r="AE31" s="40">
        <f t="shared" si="7"/>
        <v>0</v>
      </c>
      <c r="AF31" s="56">
        <f t="shared" si="8"/>
        <v>64058400</v>
      </c>
      <c r="AG31" s="504"/>
      <c r="AH31" s="69" t="s">
        <v>429</v>
      </c>
    </row>
    <row r="32" spans="1:34" ht="30.75" customHeight="1" x14ac:dyDescent="0.25">
      <c r="A32" s="94">
        <v>7</v>
      </c>
      <c r="B32" s="95" t="s">
        <v>207</v>
      </c>
      <c r="C32" s="246"/>
      <c r="D32" s="246"/>
      <c r="E32" s="247"/>
      <c r="F32" s="214" t="s">
        <v>33</v>
      </c>
      <c r="G32" s="210">
        <v>29</v>
      </c>
      <c r="H32" s="210">
        <v>47</v>
      </c>
      <c r="I32" s="211">
        <v>193.1</v>
      </c>
      <c r="J32" s="213" t="s">
        <v>7</v>
      </c>
      <c r="K32" s="48"/>
      <c r="L32" s="48">
        <v>193.1</v>
      </c>
      <c r="M32" s="48"/>
      <c r="N32" s="49"/>
      <c r="O32" s="49"/>
      <c r="P32" s="49"/>
      <c r="Q32" s="50">
        <f t="shared" si="0"/>
        <v>193.1</v>
      </c>
      <c r="R32" s="55" t="str">
        <f t="shared" si="1"/>
        <v>LUC</v>
      </c>
      <c r="S32" s="182"/>
      <c r="T32" s="40">
        <v>80000</v>
      </c>
      <c r="U32" s="40">
        <f t="shared" si="3"/>
        <v>15448000</v>
      </c>
      <c r="V32" s="96" t="s">
        <v>64</v>
      </c>
      <c r="W32" s="241" t="s">
        <v>24</v>
      </c>
      <c r="X32" s="242">
        <f t="shared" si="12"/>
        <v>193.1</v>
      </c>
      <c r="Y32" s="267">
        <v>9000</v>
      </c>
      <c r="Z32" s="464">
        <v>1</v>
      </c>
      <c r="AA32" s="467">
        <v>1</v>
      </c>
      <c r="AB32" s="40">
        <f t="shared" si="4"/>
        <v>1737900</v>
      </c>
      <c r="AC32" s="40">
        <f t="shared" si="5"/>
        <v>77240000</v>
      </c>
      <c r="AD32" s="40">
        <f t="shared" si="6"/>
        <v>2896500</v>
      </c>
      <c r="AE32" s="40">
        <f t="shared" si="7"/>
        <v>0</v>
      </c>
      <c r="AF32" s="56">
        <f t="shared" si="8"/>
        <v>97322400</v>
      </c>
      <c r="AG32" s="504">
        <f>SUM(AF32:AF38)</f>
        <v>483100720</v>
      </c>
      <c r="AH32" s="6" t="s">
        <v>115</v>
      </c>
    </row>
    <row r="33" spans="1:34" ht="48" customHeight="1" x14ac:dyDescent="0.25">
      <c r="A33" s="94">
        <v>7</v>
      </c>
      <c r="B33" s="95" t="s">
        <v>207</v>
      </c>
      <c r="C33" s="246">
        <v>5</v>
      </c>
      <c r="D33" s="246">
        <v>131</v>
      </c>
      <c r="E33" s="247">
        <v>168</v>
      </c>
      <c r="F33" s="215" t="s">
        <v>230</v>
      </c>
      <c r="G33" s="210">
        <v>28</v>
      </c>
      <c r="H33" s="210">
        <v>467</v>
      </c>
      <c r="I33" s="211">
        <v>272.5</v>
      </c>
      <c r="J33" s="213" t="s">
        <v>48</v>
      </c>
      <c r="K33" s="48">
        <v>110.6</v>
      </c>
      <c r="L33" s="48"/>
      <c r="M33" s="48"/>
      <c r="N33" s="49"/>
      <c r="O33" s="49"/>
      <c r="P33" s="49"/>
      <c r="Q33" s="50">
        <f t="shared" si="0"/>
        <v>110.6</v>
      </c>
      <c r="R33" s="55" t="str">
        <f t="shared" si="1"/>
        <v>LUK</v>
      </c>
      <c r="S33" s="182"/>
      <c r="T33" s="40">
        <v>80000</v>
      </c>
      <c r="U33" s="40">
        <f t="shared" si="3"/>
        <v>8848000</v>
      </c>
      <c r="V33" s="96" t="s">
        <v>64</v>
      </c>
      <c r="W33" s="241" t="s">
        <v>24</v>
      </c>
      <c r="X33" s="242">
        <f t="shared" si="12"/>
        <v>110.6</v>
      </c>
      <c r="Y33" s="267">
        <v>9000</v>
      </c>
      <c r="Z33" s="464">
        <v>1</v>
      </c>
      <c r="AA33" s="467">
        <v>1</v>
      </c>
      <c r="AB33" s="40">
        <f t="shared" si="4"/>
        <v>995400</v>
      </c>
      <c r="AC33" s="40">
        <f t="shared" si="5"/>
        <v>44240000</v>
      </c>
      <c r="AD33" s="40">
        <f t="shared" si="6"/>
        <v>1659000</v>
      </c>
      <c r="AE33" s="40">
        <f t="shared" si="7"/>
        <v>0</v>
      </c>
      <c r="AF33" s="56">
        <f t="shared" si="8"/>
        <v>55742400</v>
      </c>
      <c r="AG33" s="504"/>
      <c r="AH33" s="69" t="s">
        <v>209</v>
      </c>
    </row>
    <row r="34" spans="1:34" ht="52.5" customHeight="1" x14ac:dyDescent="0.25">
      <c r="A34" s="94">
        <v>7</v>
      </c>
      <c r="B34" s="95" t="s">
        <v>207</v>
      </c>
      <c r="C34" s="246">
        <v>5</v>
      </c>
      <c r="D34" s="246">
        <v>101</v>
      </c>
      <c r="E34" s="247">
        <v>216</v>
      </c>
      <c r="F34" s="215" t="s">
        <v>119</v>
      </c>
      <c r="G34" s="210">
        <v>28</v>
      </c>
      <c r="H34" s="210">
        <v>614</v>
      </c>
      <c r="I34" s="211">
        <v>290.7</v>
      </c>
      <c r="J34" s="213" t="s">
        <v>48</v>
      </c>
      <c r="K34" s="48">
        <v>216</v>
      </c>
      <c r="L34" s="48">
        <f>I34-K34</f>
        <v>74.699999999999989</v>
      </c>
      <c r="M34" s="48"/>
      <c r="N34" s="49"/>
      <c r="O34" s="49"/>
      <c r="P34" s="49"/>
      <c r="Q34" s="50">
        <f t="shared" si="0"/>
        <v>290.7</v>
      </c>
      <c r="R34" s="55" t="str">
        <f t="shared" si="1"/>
        <v>LUK</v>
      </c>
      <c r="S34" s="183"/>
      <c r="T34" s="40">
        <v>80000</v>
      </c>
      <c r="U34" s="40">
        <f t="shared" si="3"/>
        <v>23256000</v>
      </c>
      <c r="V34" s="99" t="s">
        <v>319</v>
      </c>
      <c r="W34" s="241" t="s">
        <v>61</v>
      </c>
      <c r="X34" s="242">
        <v>34</v>
      </c>
      <c r="Y34" s="267">
        <v>163000</v>
      </c>
      <c r="Z34" s="464">
        <v>1</v>
      </c>
      <c r="AA34" s="467">
        <v>0.8</v>
      </c>
      <c r="AB34" s="40">
        <f t="shared" si="4"/>
        <v>4433600</v>
      </c>
      <c r="AC34" s="40">
        <f t="shared" si="5"/>
        <v>116280000</v>
      </c>
      <c r="AD34" s="40">
        <f t="shared" si="6"/>
        <v>4360500</v>
      </c>
      <c r="AE34" s="40">
        <f t="shared" si="7"/>
        <v>0</v>
      </c>
      <c r="AF34" s="56">
        <f t="shared" si="8"/>
        <v>148330100</v>
      </c>
      <c r="AG34" s="504"/>
      <c r="AH34" s="6"/>
    </row>
    <row r="35" spans="1:34" ht="60" customHeight="1" x14ac:dyDescent="0.25">
      <c r="A35" s="94">
        <v>7</v>
      </c>
      <c r="B35" s="95" t="s">
        <v>207</v>
      </c>
      <c r="C35" s="246"/>
      <c r="D35" s="246"/>
      <c r="E35" s="247"/>
      <c r="F35" s="215" t="s">
        <v>119</v>
      </c>
      <c r="G35" s="210">
        <v>28</v>
      </c>
      <c r="H35" s="210">
        <v>614</v>
      </c>
      <c r="I35" s="211"/>
      <c r="J35" s="213"/>
      <c r="K35" s="48"/>
      <c r="L35" s="48"/>
      <c r="M35" s="48"/>
      <c r="N35" s="49"/>
      <c r="O35" s="49"/>
      <c r="P35" s="49"/>
      <c r="Q35" s="50"/>
      <c r="R35" s="55"/>
      <c r="S35" s="183"/>
      <c r="T35" s="40"/>
      <c r="U35" s="40">
        <f t="shared" si="3"/>
        <v>0</v>
      </c>
      <c r="V35" s="99" t="s">
        <v>320</v>
      </c>
      <c r="W35" s="241" t="s">
        <v>61</v>
      </c>
      <c r="X35" s="242">
        <f>58-34</f>
        <v>24</v>
      </c>
      <c r="Y35" s="267">
        <v>123000</v>
      </c>
      <c r="Z35" s="464">
        <v>1</v>
      </c>
      <c r="AA35" s="467">
        <v>0.8</v>
      </c>
      <c r="AB35" s="40">
        <f t="shared" si="4"/>
        <v>2361600</v>
      </c>
      <c r="AC35" s="40">
        <f t="shared" si="5"/>
        <v>0</v>
      </c>
      <c r="AD35" s="40">
        <f t="shared" si="6"/>
        <v>0</v>
      </c>
      <c r="AE35" s="40">
        <f t="shared" si="7"/>
        <v>0</v>
      </c>
      <c r="AF35" s="56">
        <f t="shared" si="8"/>
        <v>2361600</v>
      </c>
      <c r="AG35" s="504"/>
      <c r="AH35" s="6"/>
    </row>
    <row r="36" spans="1:34" ht="69.75" customHeight="1" x14ac:dyDescent="0.25">
      <c r="A36" s="94">
        <v>7</v>
      </c>
      <c r="B36" s="95" t="s">
        <v>207</v>
      </c>
      <c r="C36" s="246"/>
      <c r="D36" s="246"/>
      <c r="E36" s="247"/>
      <c r="F36" s="215" t="s">
        <v>119</v>
      </c>
      <c r="G36" s="210">
        <v>28</v>
      </c>
      <c r="H36" s="210">
        <v>614</v>
      </c>
      <c r="I36" s="211"/>
      <c r="J36" s="213"/>
      <c r="K36" s="48"/>
      <c r="L36" s="48"/>
      <c r="M36" s="48"/>
      <c r="N36" s="49"/>
      <c r="O36" s="49"/>
      <c r="P36" s="49"/>
      <c r="Q36" s="50"/>
      <c r="R36" s="55"/>
      <c r="S36" s="183"/>
      <c r="T36" s="40"/>
      <c r="U36" s="40">
        <f t="shared" si="3"/>
        <v>0</v>
      </c>
      <c r="V36" s="99" t="s">
        <v>321</v>
      </c>
      <c r="W36" s="241" t="s">
        <v>61</v>
      </c>
      <c r="X36" s="242">
        <f>120-24</f>
        <v>96</v>
      </c>
      <c r="Y36" s="267">
        <v>118000</v>
      </c>
      <c r="Z36" s="464">
        <v>0.3</v>
      </c>
      <c r="AA36" s="468">
        <v>0.8</v>
      </c>
      <c r="AB36" s="40">
        <f t="shared" si="4"/>
        <v>2718720</v>
      </c>
      <c r="AC36" s="40">
        <f t="shared" si="5"/>
        <v>0</v>
      </c>
      <c r="AD36" s="40">
        <f t="shared" si="6"/>
        <v>0</v>
      </c>
      <c r="AE36" s="40">
        <f t="shared" si="7"/>
        <v>0</v>
      </c>
      <c r="AF36" s="56">
        <f t="shared" si="8"/>
        <v>2718720</v>
      </c>
      <c r="AG36" s="504"/>
      <c r="AH36" s="264" t="s">
        <v>447</v>
      </c>
    </row>
    <row r="37" spans="1:34" ht="70.5" customHeight="1" x14ac:dyDescent="0.25">
      <c r="A37" s="94">
        <v>7</v>
      </c>
      <c r="B37" s="95" t="s">
        <v>207</v>
      </c>
      <c r="C37" s="246">
        <v>5</v>
      </c>
      <c r="D37" s="246">
        <v>64</v>
      </c>
      <c r="E37" s="216">
        <v>288</v>
      </c>
      <c r="F37" s="214" t="s">
        <v>33</v>
      </c>
      <c r="G37" s="210">
        <v>28</v>
      </c>
      <c r="H37" s="210">
        <v>784</v>
      </c>
      <c r="I37" s="211">
        <v>876.3</v>
      </c>
      <c r="J37" s="213" t="s">
        <v>7</v>
      </c>
      <c r="K37" s="48">
        <v>288</v>
      </c>
      <c r="L37" s="48">
        <f>350.5-288</f>
        <v>62.5</v>
      </c>
      <c r="M37" s="48"/>
      <c r="N37" s="49"/>
      <c r="O37" s="49"/>
      <c r="P37" s="49"/>
      <c r="Q37" s="50">
        <f t="shared" ref="Q37" si="13">K37+L37+M37+N37+O37+P37</f>
        <v>350.5</v>
      </c>
      <c r="R37" s="55" t="str">
        <f t="shared" ref="R37" si="14">J37</f>
        <v>LUC</v>
      </c>
      <c r="S37" s="183"/>
      <c r="T37" s="40">
        <v>80000</v>
      </c>
      <c r="U37" s="40">
        <f t="shared" si="3"/>
        <v>28040000</v>
      </c>
      <c r="V37" s="99" t="s">
        <v>259</v>
      </c>
      <c r="W37" s="241" t="s">
        <v>61</v>
      </c>
      <c r="X37" s="242">
        <v>70</v>
      </c>
      <c r="Y37" s="267">
        <v>34000</v>
      </c>
      <c r="Z37" s="464">
        <v>1</v>
      </c>
      <c r="AA37" s="468">
        <v>0.8</v>
      </c>
      <c r="AB37" s="40">
        <f t="shared" si="4"/>
        <v>1904000</v>
      </c>
      <c r="AC37" s="40">
        <f t="shared" si="5"/>
        <v>140200000</v>
      </c>
      <c r="AD37" s="40">
        <f t="shared" si="6"/>
        <v>5257500</v>
      </c>
      <c r="AE37" s="40">
        <f t="shared" si="7"/>
        <v>0</v>
      </c>
      <c r="AF37" s="56">
        <f t="shared" si="8"/>
        <v>175401500</v>
      </c>
      <c r="AG37" s="504"/>
      <c r="AH37" s="69" t="s">
        <v>211</v>
      </c>
    </row>
    <row r="38" spans="1:34" ht="81.75" customHeight="1" x14ac:dyDescent="0.25">
      <c r="A38" s="94">
        <v>7</v>
      </c>
      <c r="B38" s="95" t="s">
        <v>207</v>
      </c>
      <c r="C38" s="246"/>
      <c r="D38" s="246"/>
      <c r="E38" s="216"/>
      <c r="F38" s="214" t="s">
        <v>33</v>
      </c>
      <c r="G38" s="210">
        <v>28</v>
      </c>
      <c r="H38" s="210">
        <v>784</v>
      </c>
      <c r="I38" s="211"/>
      <c r="J38" s="213"/>
      <c r="K38" s="48"/>
      <c r="L38" s="48"/>
      <c r="M38" s="48"/>
      <c r="N38" s="49"/>
      <c r="O38" s="49"/>
      <c r="P38" s="49"/>
      <c r="Q38" s="50"/>
      <c r="R38" s="55">
        <f t="shared" si="1"/>
        <v>0</v>
      </c>
      <c r="S38" s="183"/>
      <c r="T38" s="40"/>
      <c r="U38" s="40">
        <f t="shared" si="3"/>
        <v>0</v>
      </c>
      <c r="V38" s="99" t="s">
        <v>259</v>
      </c>
      <c r="W38" s="241" t="s">
        <v>61</v>
      </c>
      <c r="X38" s="242">
        <v>150</v>
      </c>
      <c r="Y38" s="267">
        <v>34000</v>
      </c>
      <c r="Z38" s="464">
        <v>0.3</v>
      </c>
      <c r="AA38" s="468">
        <v>0.8</v>
      </c>
      <c r="AB38" s="40">
        <f t="shared" si="4"/>
        <v>1224000</v>
      </c>
      <c r="AC38" s="40">
        <f t="shared" si="5"/>
        <v>0</v>
      </c>
      <c r="AD38" s="40">
        <f t="shared" si="6"/>
        <v>0</v>
      </c>
      <c r="AE38" s="40">
        <f t="shared" si="7"/>
        <v>0</v>
      </c>
      <c r="AF38" s="56">
        <f t="shared" si="8"/>
        <v>1224000</v>
      </c>
      <c r="AG38" s="504"/>
      <c r="AH38" s="264" t="s">
        <v>447</v>
      </c>
    </row>
    <row r="39" spans="1:34" ht="78.75" customHeight="1" x14ac:dyDescent="0.25">
      <c r="A39" s="94">
        <v>8</v>
      </c>
      <c r="B39" s="266" t="s">
        <v>208</v>
      </c>
      <c r="C39" s="246">
        <v>5</v>
      </c>
      <c r="D39" s="246">
        <v>64</v>
      </c>
      <c r="E39" s="247">
        <v>432</v>
      </c>
      <c r="F39" s="214" t="s">
        <v>33</v>
      </c>
      <c r="G39" s="210">
        <v>28</v>
      </c>
      <c r="H39" s="210">
        <v>784</v>
      </c>
      <c r="I39" s="211">
        <v>876.3</v>
      </c>
      <c r="J39" s="213" t="s">
        <v>7</v>
      </c>
      <c r="K39" s="48">
        <v>432</v>
      </c>
      <c r="L39" s="48">
        <f>525.8-432</f>
        <v>93.799999999999955</v>
      </c>
      <c r="M39" s="48"/>
      <c r="N39" s="49"/>
      <c r="O39" s="49"/>
      <c r="P39" s="49"/>
      <c r="Q39" s="50">
        <f t="shared" si="0"/>
        <v>525.79999999999995</v>
      </c>
      <c r="R39" s="55" t="str">
        <f t="shared" si="1"/>
        <v>LUC</v>
      </c>
      <c r="S39" s="183"/>
      <c r="T39" s="40">
        <v>80000</v>
      </c>
      <c r="U39" s="40">
        <f t="shared" si="3"/>
        <v>42064000</v>
      </c>
      <c r="V39" s="99" t="s">
        <v>259</v>
      </c>
      <c r="W39" s="241" t="s">
        <v>61</v>
      </c>
      <c r="X39" s="242">
        <v>105</v>
      </c>
      <c r="Y39" s="267">
        <v>34000</v>
      </c>
      <c r="Z39" s="464">
        <v>1</v>
      </c>
      <c r="AA39" s="468">
        <v>0.8</v>
      </c>
      <c r="AB39" s="40">
        <f t="shared" si="4"/>
        <v>2856000</v>
      </c>
      <c r="AC39" s="40">
        <f t="shared" si="5"/>
        <v>210320000</v>
      </c>
      <c r="AD39" s="40">
        <f t="shared" si="6"/>
        <v>7886999.9999999991</v>
      </c>
      <c r="AE39" s="40">
        <f t="shared" si="7"/>
        <v>0</v>
      </c>
      <c r="AF39" s="56">
        <f t="shared" si="8"/>
        <v>263127000</v>
      </c>
      <c r="AG39" s="506">
        <f>SUM(AF39:AF40)</f>
        <v>265371000</v>
      </c>
      <c r="AH39" s="69" t="s">
        <v>210</v>
      </c>
    </row>
    <row r="40" spans="1:34" ht="86.25" customHeight="1" x14ac:dyDescent="0.25">
      <c r="A40" s="94">
        <v>8</v>
      </c>
      <c r="B40" s="266" t="s">
        <v>208</v>
      </c>
      <c r="C40" s="246"/>
      <c r="D40" s="246"/>
      <c r="E40" s="247"/>
      <c r="F40" s="214" t="s">
        <v>33</v>
      </c>
      <c r="G40" s="210">
        <v>28</v>
      </c>
      <c r="H40" s="210">
        <v>784</v>
      </c>
      <c r="I40" s="211"/>
      <c r="J40" s="212"/>
      <c r="K40" s="48"/>
      <c r="L40" s="48"/>
      <c r="M40" s="48"/>
      <c r="N40" s="49"/>
      <c r="O40" s="49"/>
      <c r="P40" s="49"/>
      <c r="Q40" s="50">
        <f t="shared" si="0"/>
        <v>0</v>
      </c>
      <c r="R40" s="55">
        <f t="shared" si="1"/>
        <v>0</v>
      </c>
      <c r="S40" s="183"/>
      <c r="T40" s="40">
        <v>80000</v>
      </c>
      <c r="U40" s="40">
        <f t="shared" si="3"/>
        <v>0</v>
      </c>
      <c r="V40" s="99" t="s">
        <v>259</v>
      </c>
      <c r="W40" s="241" t="s">
        <v>61</v>
      </c>
      <c r="X40" s="242">
        <f>600-70-150-105</f>
        <v>275</v>
      </c>
      <c r="Y40" s="267">
        <v>34000</v>
      </c>
      <c r="Z40" s="464">
        <v>0.3</v>
      </c>
      <c r="AA40" s="468">
        <v>0.8</v>
      </c>
      <c r="AB40" s="40">
        <f t="shared" si="4"/>
        <v>2244000</v>
      </c>
      <c r="AC40" s="40">
        <f t="shared" si="5"/>
        <v>0</v>
      </c>
      <c r="AD40" s="40">
        <f t="shared" si="6"/>
        <v>0</v>
      </c>
      <c r="AE40" s="40">
        <f t="shared" si="7"/>
        <v>0</v>
      </c>
      <c r="AF40" s="56">
        <f t="shared" si="8"/>
        <v>2244000</v>
      </c>
      <c r="AG40" s="506"/>
      <c r="AH40" s="264" t="s">
        <v>447</v>
      </c>
    </row>
    <row r="41" spans="1:34" ht="30" customHeight="1" x14ac:dyDescent="0.25">
      <c r="A41" s="94">
        <v>9</v>
      </c>
      <c r="B41" s="266" t="s">
        <v>213</v>
      </c>
      <c r="C41" s="246">
        <v>5</v>
      </c>
      <c r="D41" s="246">
        <v>70</v>
      </c>
      <c r="E41" s="247">
        <v>600</v>
      </c>
      <c r="F41" s="214" t="s">
        <v>33</v>
      </c>
      <c r="G41" s="210">
        <v>29</v>
      </c>
      <c r="H41" s="210">
        <v>14</v>
      </c>
      <c r="I41" s="211">
        <v>668.6</v>
      </c>
      <c r="J41" s="213" t="s">
        <v>7</v>
      </c>
      <c r="K41" s="48">
        <v>600</v>
      </c>
      <c r="L41" s="48">
        <v>68.599999999999994</v>
      </c>
      <c r="M41" s="48"/>
      <c r="N41" s="49"/>
      <c r="O41" s="49"/>
      <c r="P41" s="49"/>
      <c r="Q41" s="50">
        <f t="shared" si="0"/>
        <v>668.6</v>
      </c>
      <c r="R41" s="55" t="str">
        <f t="shared" si="1"/>
        <v>LUC</v>
      </c>
      <c r="S41" s="183"/>
      <c r="T41" s="40">
        <v>80000</v>
      </c>
      <c r="U41" s="40">
        <f t="shared" si="3"/>
        <v>53488000</v>
      </c>
      <c r="V41" s="96" t="s">
        <v>64</v>
      </c>
      <c r="W41" s="241" t="s">
        <v>24</v>
      </c>
      <c r="X41" s="242">
        <f t="shared" ref="X41:X46" si="15">Q41</f>
        <v>668.6</v>
      </c>
      <c r="Y41" s="267">
        <v>9000</v>
      </c>
      <c r="Z41" s="464">
        <v>1</v>
      </c>
      <c r="AA41" s="467">
        <v>1</v>
      </c>
      <c r="AB41" s="40">
        <f t="shared" si="4"/>
        <v>6017400</v>
      </c>
      <c r="AC41" s="40">
        <f t="shared" si="5"/>
        <v>267440000</v>
      </c>
      <c r="AD41" s="40">
        <f t="shared" si="6"/>
        <v>10029000</v>
      </c>
      <c r="AE41" s="40">
        <f t="shared" si="7"/>
        <v>0</v>
      </c>
      <c r="AF41" s="56">
        <f t="shared" si="8"/>
        <v>336974400</v>
      </c>
      <c r="AG41" s="504">
        <f>SUM(AF41:AF43)</f>
        <v>619063200</v>
      </c>
      <c r="AH41" s="6"/>
    </row>
    <row r="42" spans="1:34" ht="30" customHeight="1" x14ac:dyDescent="0.25">
      <c r="A42" s="94">
        <v>9</v>
      </c>
      <c r="B42" s="266" t="s">
        <v>213</v>
      </c>
      <c r="C42" s="246">
        <v>5</v>
      </c>
      <c r="D42" s="246">
        <v>33</v>
      </c>
      <c r="E42" s="247">
        <v>480</v>
      </c>
      <c r="F42" s="214" t="s">
        <v>33</v>
      </c>
      <c r="G42" s="210">
        <v>29</v>
      </c>
      <c r="H42" s="210">
        <v>41</v>
      </c>
      <c r="I42" s="211">
        <v>2954.6</v>
      </c>
      <c r="J42" s="213" t="s">
        <v>53</v>
      </c>
      <c r="K42" s="48">
        <v>480</v>
      </c>
      <c r="L42" s="48"/>
      <c r="M42" s="48"/>
      <c r="N42" s="49"/>
      <c r="O42" s="49"/>
      <c r="P42" s="49"/>
      <c r="Q42" s="50">
        <f t="shared" si="0"/>
        <v>480</v>
      </c>
      <c r="R42" s="55" t="s">
        <v>7</v>
      </c>
      <c r="S42" s="183"/>
      <c r="T42" s="40">
        <v>80000</v>
      </c>
      <c r="U42" s="40">
        <f t="shared" si="3"/>
        <v>38400000</v>
      </c>
      <c r="V42" s="96" t="s">
        <v>64</v>
      </c>
      <c r="W42" s="241" t="s">
        <v>24</v>
      </c>
      <c r="X42" s="242">
        <f t="shared" si="15"/>
        <v>480</v>
      </c>
      <c r="Y42" s="267">
        <v>9000</v>
      </c>
      <c r="Z42" s="464">
        <v>1</v>
      </c>
      <c r="AA42" s="467">
        <v>1</v>
      </c>
      <c r="AB42" s="40">
        <f t="shared" si="4"/>
        <v>4320000</v>
      </c>
      <c r="AC42" s="40">
        <f t="shared" si="5"/>
        <v>192000000</v>
      </c>
      <c r="AD42" s="40">
        <f t="shared" si="6"/>
        <v>7200000</v>
      </c>
      <c r="AE42" s="40">
        <f t="shared" si="7"/>
        <v>0</v>
      </c>
      <c r="AF42" s="56">
        <f t="shared" si="8"/>
        <v>241920000</v>
      </c>
      <c r="AG42" s="504"/>
      <c r="AH42" s="170" t="s">
        <v>62</v>
      </c>
    </row>
    <row r="43" spans="1:34" ht="67.5" x14ac:dyDescent="0.25">
      <c r="A43" s="94">
        <v>9</v>
      </c>
      <c r="B43" s="266" t="s">
        <v>213</v>
      </c>
      <c r="C43" s="246">
        <v>5</v>
      </c>
      <c r="D43" s="246">
        <v>96</v>
      </c>
      <c r="E43" s="247">
        <v>24</v>
      </c>
      <c r="F43" s="214" t="s">
        <v>42</v>
      </c>
      <c r="G43" s="210">
        <v>28</v>
      </c>
      <c r="H43" s="210">
        <v>853</v>
      </c>
      <c r="I43" s="211">
        <v>82.8</v>
      </c>
      <c r="J43" s="213" t="s">
        <v>7</v>
      </c>
      <c r="K43" s="48">
        <f>24-3.1</f>
        <v>20.9</v>
      </c>
      <c r="L43" s="48">
        <f>I43-K43-3.1</f>
        <v>58.8</v>
      </c>
      <c r="M43" s="48"/>
      <c r="N43" s="49"/>
      <c r="O43" s="49"/>
      <c r="P43" s="49"/>
      <c r="Q43" s="50">
        <f t="shared" si="0"/>
        <v>79.699999999999989</v>
      </c>
      <c r="R43" s="55" t="str">
        <f t="shared" si="1"/>
        <v>LUC</v>
      </c>
      <c r="S43" s="183">
        <v>3.1</v>
      </c>
      <c r="T43" s="40">
        <v>80000</v>
      </c>
      <c r="U43" s="40">
        <f t="shared" si="3"/>
        <v>6375999.9999999991</v>
      </c>
      <c r="V43" s="96" t="s">
        <v>64</v>
      </c>
      <c r="W43" s="241" t="s">
        <v>24</v>
      </c>
      <c r="X43" s="242">
        <f t="shared" si="15"/>
        <v>79.699999999999989</v>
      </c>
      <c r="Y43" s="267">
        <v>9000</v>
      </c>
      <c r="Z43" s="464">
        <v>1</v>
      </c>
      <c r="AA43" s="467">
        <v>1</v>
      </c>
      <c r="AB43" s="40">
        <f t="shared" si="4"/>
        <v>717299.99999999988</v>
      </c>
      <c r="AC43" s="40">
        <f t="shared" si="5"/>
        <v>31879999.999999996</v>
      </c>
      <c r="AD43" s="40">
        <f t="shared" si="6"/>
        <v>1195499.9999999998</v>
      </c>
      <c r="AE43" s="40">
        <f t="shared" si="7"/>
        <v>0</v>
      </c>
      <c r="AF43" s="56">
        <f t="shared" si="8"/>
        <v>40168799.999999993</v>
      </c>
      <c r="AG43" s="504"/>
      <c r="AH43" s="44" t="s">
        <v>125</v>
      </c>
    </row>
    <row r="44" spans="1:34" ht="32.1" customHeight="1" x14ac:dyDescent="0.25">
      <c r="A44" s="94">
        <v>10</v>
      </c>
      <c r="B44" s="95" t="s">
        <v>214</v>
      </c>
      <c r="C44" s="66">
        <v>5</v>
      </c>
      <c r="D44" s="66">
        <v>65</v>
      </c>
      <c r="E44" s="67">
        <v>1512</v>
      </c>
      <c r="F44" s="66" t="s">
        <v>33</v>
      </c>
      <c r="G44" s="268">
        <v>29</v>
      </c>
      <c r="H44" s="268">
        <v>55</v>
      </c>
      <c r="I44" s="269">
        <v>1415.1</v>
      </c>
      <c r="J44" s="270" t="s">
        <v>7</v>
      </c>
      <c r="K44" s="48">
        <v>1415.1</v>
      </c>
      <c r="L44" s="48"/>
      <c r="M44" s="48"/>
      <c r="N44" s="49"/>
      <c r="O44" s="49"/>
      <c r="P44" s="49"/>
      <c r="Q44" s="50">
        <f t="shared" si="0"/>
        <v>1415.1</v>
      </c>
      <c r="R44" s="55" t="str">
        <f t="shared" si="1"/>
        <v>LUC</v>
      </c>
      <c r="S44" s="182"/>
      <c r="T44" s="40">
        <v>80000</v>
      </c>
      <c r="U44" s="40">
        <f t="shared" si="3"/>
        <v>113208000</v>
      </c>
      <c r="V44" s="96" t="s">
        <v>64</v>
      </c>
      <c r="W44" s="241" t="s">
        <v>24</v>
      </c>
      <c r="X44" s="242">
        <f t="shared" si="15"/>
        <v>1415.1</v>
      </c>
      <c r="Y44" s="267">
        <v>9000</v>
      </c>
      <c r="Z44" s="464">
        <v>1</v>
      </c>
      <c r="AA44" s="467">
        <v>1</v>
      </c>
      <c r="AB44" s="40">
        <f t="shared" si="4"/>
        <v>12735900</v>
      </c>
      <c r="AC44" s="40">
        <f t="shared" si="5"/>
        <v>566040000</v>
      </c>
      <c r="AD44" s="40">
        <f t="shared" si="6"/>
        <v>21226500</v>
      </c>
      <c r="AE44" s="40">
        <f t="shared" si="7"/>
        <v>0</v>
      </c>
      <c r="AF44" s="56">
        <f t="shared" si="8"/>
        <v>713210400</v>
      </c>
      <c r="AG44" s="56">
        <f>AF44</f>
        <v>713210400</v>
      </c>
      <c r="AH44" s="6"/>
    </row>
    <row r="45" spans="1:34" ht="32.1" customHeight="1" x14ac:dyDescent="0.25">
      <c r="A45" s="94">
        <v>11</v>
      </c>
      <c r="B45" s="95" t="s">
        <v>215</v>
      </c>
      <c r="C45" s="246"/>
      <c r="D45" s="246"/>
      <c r="E45" s="247"/>
      <c r="F45" s="215" t="s">
        <v>46</v>
      </c>
      <c r="G45" s="210">
        <v>28</v>
      </c>
      <c r="H45" s="210">
        <v>726</v>
      </c>
      <c r="I45" s="211">
        <v>293.60000000000002</v>
      </c>
      <c r="J45" s="213" t="s">
        <v>43</v>
      </c>
      <c r="K45" s="48"/>
      <c r="L45" s="48">
        <v>293.60000000000002</v>
      </c>
      <c r="M45" s="48"/>
      <c r="N45" s="49"/>
      <c r="O45" s="49"/>
      <c r="P45" s="49"/>
      <c r="Q45" s="50">
        <f t="shared" si="0"/>
        <v>293.60000000000002</v>
      </c>
      <c r="R45" s="55" t="s">
        <v>86</v>
      </c>
      <c r="S45" s="182"/>
      <c r="T45" s="40">
        <v>80000</v>
      </c>
      <c r="U45" s="40">
        <f t="shared" si="3"/>
        <v>23488000</v>
      </c>
      <c r="V45" s="96" t="s">
        <v>64</v>
      </c>
      <c r="W45" s="241" t="s">
        <v>24</v>
      </c>
      <c r="X45" s="242">
        <f t="shared" si="15"/>
        <v>293.60000000000002</v>
      </c>
      <c r="Y45" s="267">
        <v>9000</v>
      </c>
      <c r="Z45" s="464">
        <v>1</v>
      </c>
      <c r="AA45" s="467">
        <v>1</v>
      </c>
      <c r="AB45" s="40">
        <f t="shared" si="4"/>
        <v>2642400</v>
      </c>
      <c r="AC45" s="40">
        <f t="shared" si="5"/>
        <v>117440000</v>
      </c>
      <c r="AD45" s="40">
        <f t="shared" si="6"/>
        <v>4404000</v>
      </c>
      <c r="AE45" s="40">
        <f t="shared" si="7"/>
        <v>0</v>
      </c>
      <c r="AF45" s="56">
        <f t="shared" si="8"/>
        <v>147974400</v>
      </c>
      <c r="AG45" s="504">
        <f>SUM(AF45:AF46)</f>
        <v>499212000</v>
      </c>
      <c r="AH45" s="44" t="s">
        <v>308</v>
      </c>
    </row>
    <row r="46" spans="1:34" ht="32.1" customHeight="1" x14ac:dyDescent="0.25">
      <c r="A46" s="94">
        <v>11</v>
      </c>
      <c r="B46" s="95" t="s">
        <v>215</v>
      </c>
      <c r="C46" s="246">
        <v>5</v>
      </c>
      <c r="D46" s="246">
        <v>67</v>
      </c>
      <c r="E46" s="247">
        <v>648</v>
      </c>
      <c r="F46" s="214" t="s">
        <v>33</v>
      </c>
      <c r="G46" s="210">
        <v>29</v>
      </c>
      <c r="H46" s="210">
        <v>27</v>
      </c>
      <c r="I46" s="211">
        <v>696.9</v>
      </c>
      <c r="J46" s="213" t="s">
        <v>7</v>
      </c>
      <c r="K46" s="48">
        <v>648</v>
      </c>
      <c r="L46" s="48">
        <f>I46-K46</f>
        <v>48.899999999999977</v>
      </c>
      <c r="M46" s="48"/>
      <c r="N46" s="49"/>
      <c r="O46" s="49"/>
      <c r="P46" s="49"/>
      <c r="Q46" s="50">
        <f t="shared" si="0"/>
        <v>696.9</v>
      </c>
      <c r="R46" s="55" t="str">
        <f t="shared" si="1"/>
        <v>LUC</v>
      </c>
      <c r="S46" s="182"/>
      <c r="T46" s="40">
        <v>80000</v>
      </c>
      <c r="U46" s="40">
        <f t="shared" si="3"/>
        <v>55752000</v>
      </c>
      <c r="V46" s="96" t="s">
        <v>64</v>
      </c>
      <c r="W46" s="241" t="s">
        <v>24</v>
      </c>
      <c r="X46" s="242">
        <f t="shared" si="15"/>
        <v>696.9</v>
      </c>
      <c r="Y46" s="267">
        <v>9000</v>
      </c>
      <c r="Z46" s="464">
        <v>1</v>
      </c>
      <c r="AA46" s="467">
        <v>1</v>
      </c>
      <c r="AB46" s="40">
        <f t="shared" si="4"/>
        <v>6272100</v>
      </c>
      <c r="AC46" s="40">
        <f t="shared" si="5"/>
        <v>278760000</v>
      </c>
      <c r="AD46" s="40">
        <f t="shared" si="6"/>
        <v>10453500</v>
      </c>
      <c r="AE46" s="40">
        <f t="shared" si="7"/>
        <v>0</v>
      </c>
      <c r="AF46" s="56">
        <f t="shared" si="8"/>
        <v>351237600</v>
      </c>
      <c r="AG46" s="504"/>
      <c r="AH46" s="6"/>
    </row>
    <row r="47" spans="1:34" ht="51" x14ac:dyDescent="0.25">
      <c r="A47" s="94">
        <v>12</v>
      </c>
      <c r="B47" s="95" t="s">
        <v>216</v>
      </c>
      <c r="C47" s="246">
        <v>5</v>
      </c>
      <c r="D47" s="246">
        <v>131</v>
      </c>
      <c r="E47" s="247">
        <v>156</v>
      </c>
      <c r="F47" s="249" t="s">
        <v>44</v>
      </c>
      <c r="G47" s="210">
        <v>28</v>
      </c>
      <c r="H47" s="210">
        <v>547</v>
      </c>
      <c r="I47" s="211">
        <v>157.30000000000001</v>
      </c>
      <c r="J47" s="212" t="s">
        <v>48</v>
      </c>
      <c r="K47" s="48">
        <v>156</v>
      </c>
      <c r="L47" s="48">
        <v>1.3</v>
      </c>
      <c r="M47" s="48"/>
      <c r="N47" s="49"/>
      <c r="O47" s="49"/>
      <c r="P47" s="49"/>
      <c r="Q47" s="50">
        <f t="shared" si="0"/>
        <v>157.30000000000001</v>
      </c>
      <c r="R47" s="55" t="str">
        <f t="shared" si="1"/>
        <v>LUK</v>
      </c>
      <c r="S47" s="183"/>
      <c r="T47" s="40">
        <v>80000</v>
      </c>
      <c r="U47" s="40">
        <f t="shared" si="3"/>
        <v>12584000</v>
      </c>
      <c r="V47" s="271" t="s">
        <v>303</v>
      </c>
      <c r="W47" s="241" t="s">
        <v>61</v>
      </c>
      <c r="X47" s="242">
        <v>20</v>
      </c>
      <c r="Y47" s="267">
        <v>1000000</v>
      </c>
      <c r="Z47" s="464">
        <v>1</v>
      </c>
      <c r="AA47" s="467">
        <v>0.8</v>
      </c>
      <c r="AB47" s="40">
        <f t="shared" si="4"/>
        <v>16000000</v>
      </c>
      <c r="AC47" s="40">
        <f t="shared" si="5"/>
        <v>62920000</v>
      </c>
      <c r="AD47" s="40">
        <f t="shared" si="6"/>
        <v>2359500</v>
      </c>
      <c r="AE47" s="40">
        <f t="shared" si="7"/>
        <v>0</v>
      </c>
      <c r="AF47" s="56">
        <f t="shared" si="8"/>
        <v>93863500</v>
      </c>
      <c r="AG47" s="504">
        <f>SUM(AF47:AF49)</f>
        <v>180859100</v>
      </c>
      <c r="AH47" s="164"/>
    </row>
    <row r="48" spans="1:34" ht="36" x14ac:dyDescent="0.25">
      <c r="A48" s="94">
        <v>12</v>
      </c>
      <c r="B48" s="95" t="s">
        <v>216</v>
      </c>
      <c r="C48" s="246"/>
      <c r="D48" s="246"/>
      <c r="E48" s="247"/>
      <c r="F48" s="248" t="s">
        <v>44</v>
      </c>
      <c r="G48" s="210">
        <v>28</v>
      </c>
      <c r="H48" s="210">
        <v>607</v>
      </c>
      <c r="I48" s="211">
        <v>171.9</v>
      </c>
      <c r="J48" s="212" t="s">
        <v>48</v>
      </c>
      <c r="K48" s="48"/>
      <c r="L48" s="48">
        <v>171.9</v>
      </c>
      <c r="M48" s="48"/>
      <c r="N48" s="49"/>
      <c r="O48" s="49"/>
      <c r="P48" s="49"/>
      <c r="Q48" s="50">
        <f t="shared" si="0"/>
        <v>171.9</v>
      </c>
      <c r="R48" s="55" t="str">
        <f t="shared" si="1"/>
        <v>LUK</v>
      </c>
      <c r="S48" s="183"/>
      <c r="T48" s="40">
        <v>80000</v>
      </c>
      <c r="U48" s="40">
        <f t="shared" si="3"/>
        <v>13752000</v>
      </c>
      <c r="V48" s="96" t="s">
        <v>64</v>
      </c>
      <c r="W48" s="241" t="s">
        <v>24</v>
      </c>
      <c r="X48" s="242">
        <f>171.9-X49</f>
        <v>151.9</v>
      </c>
      <c r="Y48" s="267">
        <v>9000</v>
      </c>
      <c r="Z48" s="464">
        <v>1</v>
      </c>
      <c r="AA48" s="467">
        <v>1</v>
      </c>
      <c r="AB48" s="40">
        <f t="shared" si="4"/>
        <v>1367100</v>
      </c>
      <c r="AC48" s="40">
        <f t="shared" si="5"/>
        <v>68760000</v>
      </c>
      <c r="AD48" s="40">
        <f t="shared" si="6"/>
        <v>2578500</v>
      </c>
      <c r="AE48" s="40">
        <f t="shared" si="7"/>
        <v>0</v>
      </c>
      <c r="AF48" s="56">
        <f t="shared" si="8"/>
        <v>86457600</v>
      </c>
      <c r="AG48" s="504"/>
      <c r="AH48" s="69"/>
    </row>
    <row r="49" spans="1:34" ht="36" x14ac:dyDescent="0.25">
      <c r="A49" s="94">
        <v>12</v>
      </c>
      <c r="B49" s="95" t="s">
        <v>216</v>
      </c>
      <c r="C49" s="246"/>
      <c r="D49" s="246"/>
      <c r="E49" s="247"/>
      <c r="F49" s="248" t="s">
        <v>44</v>
      </c>
      <c r="G49" s="210">
        <v>28</v>
      </c>
      <c r="H49" s="210">
        <v>607</v>
      </c>
      <c r="I49" s="211"/>
      <c r="J49" s="212"/>
      <c r="K49" s="48"/>
      <c r="L49" s="48"/>
      <c r="M49" s="48"/>
      <c r="N49" s="49"/>
      <c r="O49" s="49"/>
      <c r="P49" s="49"/>
      <c r="Q49" s="50"/>
      <c r="R49" s="55"/>
      <c r="S49" s="183"/>
      <c r="T49" s="40"/>
      <c r="U49" s="40">
        <f t="shared" si="3"/>
        <v>0</v>
      </c>
      <c r="V49" s="96" t="s">
        <v>309</v>
      </c>
      <c r="W49" s="241" t="s">
        <v>24</v>
      </c>
      <c r="X49" s="242">
        <v>20</v>
      </c>
      <c r="Y49" s="267">
        <v>26900</v>
      </c>
      <c r="Z49" s="464">
        <v>1</v>
      </c>
      <c r="AA49" s="467">
        <v>1</v>
      </c>
      <c r="AB49" s="40">
        <f t="shared" si="4"/>
        <v>538000</v>
      </c>
      <c r="AC49" s="40">
        <f t="shared" si="5"/>
        <v>0</v>
      </c>
      <c r="AD49" s="40">
        <f t="shared" si="6"/>
        <v>0</v>
      </c>
      <c r="AE49" s="40">
        <f t="shared" si="7"/>
        <v>0</v>
      </c>
      <c r="AF49" s="56">
        <f t="shared" si="8"/>
        <v>538000</v>
      </c>
      <c r="AG49" s="504"/>
      <c r="AH49" s="69"/>
    </row>
    <row r="50" spans="1:34" ht="30" customHeight="1" x14ac:dyDescent="0.25">
      <c r="A50" s="94">
        <v>13</v>
      </c>
      <c r="B50" s="95" t="s">
        <v>218</v>
      </c>
      <c r="C50" s="494">
        <v>5</v>
      </c>
      <c r="D50" s="494">
        <v>42</v>
      </c>
      <c r="E50" s="499">
        <v>504</v>
      </c>
      <c r="F50" s="214" t="s">
        <v>33</v>
      </c>
      <c r="G50" s="210">
        <v>29</v>
      </c>
      <c r="H50" s="210">
        <v>38</v>
      </c>
      <c r="I50" s="211">
        <v>368.9</v>
      </c>
      <c r="J50" s="213" t="s">
        <v>7</v>
      </c>
      <c r="K50" s="48">
        <v>368.9</v>
      </c>
      <c r="L50" s="48"/>
      <c r="M50" s="48"/>
      <c r="N50" s="49"/>
      <c r="O50" s="49"/>
      <c r="P50" s="49"/>
      <c r="Q50" s="50">
        <f t="shared" si="0"/>
        <v>368.9</v>
      </c>
      <c r="R50" s="55" t="str">
        <f t="shared" si="1"/>
        <v>LUC</v>
      </c>
      <c r="S50" s="183"/>
      <c r="T50" s="40">
        <v>80000</v>
      </c>
      <c r="U50" s="40">
        <f t="shared" si="3"/>
        <v>29512000</v>
      </c>
      <c r="V50" s="96" t="s">
        <v>64</v>
      </c>
      <c r="W50" s="241" t="s">
        <v>24</v>
      </c>
      <c r="X50" s="242">
        <f t="shared" ref="X50:X55" si="16">Q50</f>
        <v>368.9</v>
      </c>
      <c r="Y50" s="267">
        <v>9000</v>
      </c>
      <c r="Z50" s="464">
        <v>1</v>
      </c>
      <c r="AA50" s="467">
        <v>1</v>
      </c>
      <c r="AB50" s="40">
        <f t="shared" si="4"/>
        <v>3320100</v>
      </c>
      <c r="AC50" s="40">
        <f t="shared" si="5"/>
        <v>147560000</v>
      </c>
      <c r="AD50" s="40">
        <f t="shared" si="6"/>
        <v>5533500</v>
      </c>
      <c r="AE50" s="40">
        <f t="shared" si="7"/>
        <v>0</v>
      </c>
      <c r="AF50" s="56">
        <f t="shared" si="8"/>
        <v>185925600</v>
      </c>
      <c r="AG50" s="504">
        <f>SUM(AF50:AF54)</f>
        <v>1085011200</v>
      </c>
      <c r="AH50" s="69"/>
    </row>
    <row r="51" spans="1:34" ht="30" customHeight="1" x14ac:dyDescent="0.25">
      <c r="A51" s="94">
        <v>13</v>
      </c>
      <c r="B51" s="95" t="s">
        <v>218</v>
      </c>
      <c r="C51" s="494"/>
      <c r="D51" s="494"/>
      <c r="E51" s="499"/>
      <c r="F51" s="214" t="s">
        <v>33</v>
      </c>
      <c r="G51" s="210">
        <v>29</v>
      </c>
      <c r="H51" s="210">
        <v>40</v>
      </c>
      <c r="I51" s="211">
        <v>244.8</v>
      </c>
      <c r="J51" s="213" t="s">
        <v>7</v>
      </c>
      <c r="K51" s="48">
        <f>504-368.9</f>
        <v>135.10000000000002</v>
      </c>
      <c r="L51" s="48">
        <f>I50+I51-K50-K51</f>
        <v>109.70000000000005</v>
      </c>
      <c r="M51" s="48"/>
      <c r="N51" s="49"/>
      <c r="O51" s="49"/>
      <c r="P51" s="49"/>
      <c r="Q51" s="50">
        <f t="shared" si="0"/>
        <v>244.80000000000007</v>
      </c>
      <c r="R51" s="55" t="str">
        <f t="shared" si="1"/>
        <v>LUC</v>
      </c>
      <c r="S51" s="183"/>
      <c r="T51" s="40">
        <v>80000</v>
      </c>
      <c r="U51" s="40">
        <f t="shared" si="3"/>
        <v>19584000.000000004</v>
      </c>
      <c r="V51" s="96" t="s">
        <v>64</v>
      </c>
      <c r="W51" s="241" t="s">
        <v>24</v>
      </c>
      <c r="X51" s="242">
        <f t="shared" si="16"/>
        <v>244.80000000000007</v>
      </c>
      <c r="Y51" s="267">
        <v>9000</v>
      </c>
      <c r="Z51" s="464">
        <v>1</v>
      </c>
      <c r="AA51" s="467">
        <v>1</v>
      </c>
      <c r="AB51" s="40">
        <f t="shared" si="4"/>
        <v>2203200.0000000005</v>
      </c>
      <c r="AC51" s="40">
        <f t="shared" si="5"/>
        <v>97920000.000000015</v>
      </c>
      <c r="AD51" s="40">
        <f t="shared" si="6"/>
        <v>3672000.0000000009</v>
      </c>
      <c r="AE51" s="40">
        <f t="shared" si="7"/>
        <v>0</v>
      </c>
      <c r="AF51" s="56">
        <f t="shared" si="8"/>
        <v>123379200.00000001</v>
      </c>
      <c r="AG51" s="504"/>
      <c r="AH51" s="69"/>
    </row>
    <row r="52" spans="1:34" ht="30" customHeight="1" x14ac:dyDescent="0.25">
      <c r="A52" s="94">
        <v>13</v>
      </c>
      <c r="B52" s="95" t="s">
        <v>218</v>
      </c>
      <c r="C52" s="246">
        <v>5</v>
      </c>
      <c r="D52" s="246">
        <v>37</v>
      </c>
      <c r="E52" s="247">
        <v>792</v>
      </c>
      <c r="F52" s="214" t="s">
        <v>33</v>
      </c>
      <c r="G52" s="210">
        <v>29</v>
      </c>
      <c r="H52" s="210">
        <v>51</v>
      </c>
      <c r="I52" s="211">
        <v>788.7</v>
      </c>
      <c r="J52" s="213" t="s">
        <v>7</v>
      </c>
      <c r="K52" s="48">
        <v>788.7</v>
      </c>
      <c r="L52" s="48"/>
      <c r="M52" s="48"/>
      <c r="N52" s="49"/>
      <c r="O52" s="49"/>
      <c r="P52" s="49"/>
      <c r="Q52" s="50">
        <f t="shared" si="0"/>
        <v>788.7</v>
      </c>
      <c r="R52" s="55" t="str">
        <f t="shared" si="1"/>
        <v>LUC</v>
      </c>
      <c r="S52" s="183"/>
      <c r="T52" s="40">
        <v>80000</v>
      </c>
      <c r="U52" s="40">
        <f t="shared" si="3"/>
        <v>63096000</v>
      </c>
      <c r="V52" s="96" t="s">
        <v>64</v>
      </c>
      <c r="W52" s="241" t="s">
        <v>24</v>
      </c>
      <c r="X52" s="242">
        <f t="shared" si="16"/>
        <v>788.7</v>
      </c>
      <c r="Y52" s="267">
        <v>9000</v>
      </c>
      <c r="Z52" s="464">
        <v>1</v>
      </c>
      <c r="AA52" s="467">
        <v>1</v>
      </c>
      <c r="AB52" s="40">
        <f t="shared" si="4"/>
        <v>7098300</v>
      </c>
      <c r="AC52" s="40">
        <f t="shared" si="5"/>
        <v>315480000</v>
      </c>
      <c r="AD52" s="40">
        <f t="shared" si="6"/>
        <v>11830500</v>
      </c>
      <c r="AE52" s="40">
        <f t="shared" si="7"/>
        <v>0</v>
      </c>
      <c r="AF52" s="56">
        <f t="shared" si="8"/>
        <v>397504800</v>
      </c>
      <c r="AG52" s="504"/>
      <c r="AH52" s="69"/>
    </row>
    <row r="53" spans="1:34" ht="30" customHeight="1" x14ac:dyDescent="0.25">
      <c r="A53" s="94">
        <v>13</v>
      </c>
      <c r="B53" s="95" t="s">
        <v>218</v>
      </c>
      <c r="C53" s="246">
        <v>5</v>
      </c>
      <c r="D53" s="246">
        <v>98</v>
      </c>
      <c r="E53" s="247">
        <v>288</v>
      </c>
      <c r="F53" s="215" t="s">
        <v>201</v>
      </c>
      <c r="G53" s="210">
        <v>28</v>
      </c>
      <c r="H53" s="210">
        <v>722</v>
      </c>
      <c r="I53" s="211">
        <v>302.2</v>
      </c>
      <c r="J53" s="213" t="s">
        <v>7</v>
      </c>
      <c r="K53" s="48">
        <v>288</v>
      </c>
      <c r="L53" s="48">
        <f>I53-K53</f>
        <v>14.199999999999989</v>
      </c>
      <c r="M53" s="48"/>
      <c r="N53" s="49"/>
      <c r="O53" s="49"/>
      <c r="P53" s="49"/>
      <c r="Q53" s="50">
        <f t="shared" si="0"/>
        <v>302.2</v>
      </c>
      <c r="R53" s="55" t="str">
        <f t="shared" si="1"/>
        <v>LUC</v>
      </c>
      <c r="S53" s="183"/>
      <c r="T53" s="40">
        <v>80000</v>
      </c>
      <c r="U53" s="40">
        <f t="shared" si="3"/>
        <v>24176000</v>
      </c>
      <c r="V53" s="96" t="s">
        <v>64</v>
      </c>
      <c r="W53" s="241" t="s">
        <v>24</v>
      </c>
      <c r="X53" s="242">
        <f t="shared" si="16"/>
        <v>302.2</v>
      </c>
      <c r="Y53" s="267">
        <v>9000</v>
      </c>
      <c r="Z53" s="464">
        <v>1</v>
      </c>
      <c r="AA53" s="467">
        <v>1</v>
      </c>
      <c r="AB53" s="40">
        <f t="shared" si="4"/>
        <v>2719800</v>
      </c>
      <c r="AC53" s="40">
        <f t="shared" si="5"/>
        <v>120880000</v>
      </c>
      <c r="AD53" s="40">
        <f t="shared" si="6"/>
        <v>4533000</v>
      </c>
      <c r="AE53" s="40">
        <f t="shared" si="7"/>
        <v>0</v>
      </c>
      <c r="AF53" s="56">
        <f t="shared" si="8"/>
        <v>152308800</v>
      </c>
      <c r="AG53" s="504"/>
      <c r="AH53" s="44"/>
    </row>
    <row r="54" spans="1:34" ht="30" customHeight="1" x14ac:dyDescent="0.25">
      <c r="A54" s="94">
        <v>13</v>
      </c>
      <c r="B54" s="95" t="s">
        <v>218</v>
      </c>
      <c r="C54" s="246"/>
      <c r="D54" s="246"/>
      <c r="E54" s="247"/>
      <c r="F54" s="214" t="s">
        <v>33</v>
      </c>
      <c r="G54" s="210">
        <v>29</v>
      </c>
      <c r="H54" s="210">
        <v>15</v>
      </c>
      <c r="I54" s="211">
        <v>448.2</v>
      </c>
      <c r="J54" s="213" t="s">
        <v>7</v>
      </c>
      <c r="K54" s="48"/>
      <c r="L54" s="48">
        <v>448.2</v>
      </c>
      <c r="M54" s="48"/>
      <c r="N54" s="49"/>
      <c r="O54" s="49"/>
      <c r="P54" s="49"/>
      <c r="Q54" s="50">
        <f t="shared" si="0"/>
        <v>448.2</v>
      </c>
      <c r="R54" s="55" t="str">
        <f t="shared" si="1"/>
        <v>LUC</v>
      </c>
      <c r="S54" s="183"/>
      <c r="T54" s="40">
        <v>80000</v>
      </c>
      <c r="U54" s="40">
        <f t="shared" si="3"/>
        <v>35856000</v>
      </c>
      <c r="V54" s="96" t="s">
        <v>64</v>
      </c>
      <c r="W54" s="241" t="s">
        <v>24</v>
      </c>
      <c r="X54" s="242">
        <f t="shared" si="16"/>
        <v>448.2</v>
      </c>
      <c r="Y54" s="267">
        <v>9000</v>
      </c>
      <c r="Z54" s="464">
        <v>1</v>
      </c>
      <c r="AA54" s="467">
        <v>1</v>
      </c>
      <c r="AB54" s="40">
        <f t="shared" si="4"/>
        <v>4033800</v>
      </c>
      <c r="AC54" s="40">
        <f t="shared" si="5"/>
        <v>179280000</v>
      </c>
      <c r="AD54" s="40">
        <f t="shared" si="6"/>
        <v>6723000</v>
      </c>
      <c r="AE54" s="40">
        <f t="shared" si="7"/>
        <v>0</v>
      </c>
      <c r="AF54" s="56">
        <f t="shared" si="8"/>
        <v>225892800</v>
      </c>
      <c r="AG54" s="504"/>
      <c r="AH54" s="44"/>
    </row>
    <row r="55" spans="1:34" ht="67.5" x14ac:dyDescent="0.25">
      <c r="A55" s="94">
        <v>14</v>
      </c>
      <c r="B55" s="95" t="s">
        <v>219</v>
      </c>
      <c r="C55" s="246">
        <v>5</v>
      </c>
      <c r="D55" s="246">
        <v>135</v>
      </c>
      <c r="E55" s="247">
        <v>360</v>
      </c>
      <c r="F55" s="248" t="s">
        <v>201</v>
      </c>
      <c r="G55" s="210">
        <v>28</v>
      </c>
      <c r="H55" s="210">
        <v>720</v>
      </c>
      <c r="I55" s="211">
        <v>370.2</v>
      </c>
      <c r="J55" s="213" t="s">
        <v>7</v>
      </c>
      <c r="K55" s="48">
        <f>360-18.3</f>
        <v>341.7</v>
      </c>
      <c r="L55" s="48">
        <f>I55-K55-S55</f>
        <v>10.199999999999999</v>
      </c>
      <c r="M55" s="48"/>
      <c r="N55" s="49"/>
      <c r="O55" s="49"/>
      <c r="P55" s="49"/>
      <c r="Q55" s="50">
        <f t="shared" si="0"/>
        <v>351.9</v>
      </c>
      <c r="R55" s="55" t="str">
        <f t="shared" si="1"/>
        <v>LUC</v>
      </c>
      <c r="S55" s="183">
        <v>18.3</v>
      </c>
      <c r="T55" s="40">
        <v>80000</v>
      </c>
      <c r="U55" s="40">
        <f t="shared" si="3"/>
        <v>28152000</v>
      </c>
      <c r="V55" s="96" t="s">
        <v>64</v>
      </c>
      <c r="W55" s="241" t="s">
        <v>24</v>
      </c>
      <c r="X55" s="242">
        <f t="shared" si="16"/>
        <v>351.9</v>
      </c>
      <c r="Y55" s="267">
        <v>9000</v>
      </c>
      <c r="Z55" s="464">
        <v>1</v>
      </c>
      <c r="AA55" s="467">
        <v>1</v>
      </c>
      <c r="AB55" s="40">
        <f t="shared" si="4"/>
        <v>3167100</v>
      </c>
      <c r="AC55" s="40">
        <f t="shared" si="5"/>
        <v>140760000</v>
      </c>
      <c r="AD55" s="40">
        <f t="shared" si="6"/>
        <v>5278500</v>
      </c>
      <c r="AE55" s="40">
        <f t="shared" si="7"/>
        <v>0</v>
      </c>
      <c r="AF55" s="56">
        <f t="shared" si="8"/>
        <v>177357600</v>
      </c>
      <c r="AG55" s="56">
        <f>AF55</f>
        <v>177357600</v>
      </c>
      <c r="AH55" s="44" t="s">
        <v>138</v>
      </c>
    </row>
    <row r="56" spans="1:34" ht="36" x14ac:dyDescent="0.25">
      <c r="A56" s="94">
        <v>15</v>
      </c>
      <c r="B56" s="95" t="s">
        <v>199</v>
      </c>
      <c r="C56" s="246">
        <v>5</v>
      </c>
      <c r="D56" s="246">
        <v>64</v>
      </c>
      <c r="E56" s="216">
        <v>240</v>
      </c>
      <c r="F56" s="214" t="s">
        <v>33</v>
      </c>
      <c r="G56" s="210">
        <v>28</v>
      </c>
      <c r="H56" s="210">
        <v>782</v>
      </c>
      <c r="I56" s="211">
        <v>441.7</v>
      </c>
      <c r="J56" s="213" t="s">
        <v>7</v>
      </c>
      <c r="K56" s="48">
        <v>240</v>
      </c>
      <c r="L56" s="48"/>
      <c r="M56" s="48"/>
      <c r="N56" s="49"/>
      <c r="O56" s="49"/>
      <c r="P56" s="49"/>
      <c r="Q56" s="50">
        <f>K56+L56+M56+N56+O56+P56</f>
        <v>240</v>
      </c>
      <c r="R56" s="55" t="str">
        <f>J56</f>
        <v>LUC</v>
      </c>
      <c r="S56" s="183"/>
      <c r="T56" s="40">
        <v>80000</v>
      </c>
      <c r="U56" s="40">
        <f t="shared" si="3"/>
        <v>19200000</v>
      </c>
      <c r="V56" s="96" t="s">
        <v>64</v>
      </c>
      <c r="W56" s="241" t="s">
        <v>24</v>
      </c>
      <c r="X56" s="242">
        <f>Q56</f>
        <v>240</v>
      </c>
      <c r="Y56" s="267">
        <v>9000</v>
      </c>
      <c r="Z56" s="464">
        <v>1</v>
      </c>
      <c r="AA56" s="468">
        <v>1</v>
      </c>
      <c r="AB56" s="40">
        <f t="shared" si="4"/>
        <v>2160000</v>
      </c>
      <c r="AC56" s="40">
        <f t="shared" si="5"/>
        <v>96000000</v>
      </c>
      <c r="AD56" s="40">
        <f t="shared" si="6"/>
        <v>3600000</v>
      </c>
      <c r="AE56" s="40">
        <f t="shared" si="7"/>
        <v>0</v>
      </c>
      <c r="AF56" s="56">
        <f t="shared" si="8"/>
        <v>120960000</v>
      </c>
      <c r="AG56" s="175">
        <f>AF56</f>
        <v>120960000</v>
      </c>
      <c r="AH56" s="232" t="s">
        <v>62</v>
      </c>
    </row>
    <row r="57" spans="1:34" ht="53.25" customHeight="1" x14ac:dyDescent="0.25">
      <c r="A57" s="94">
        <v>16</v>
      </c>
      <c r="B57" s="95" t="s">
        <v>220</v>
      </c>
      <c r="C57" s="246">
        <v>5</v>
      </c>
      <c r="D57" s="246">
        <v>44</v>
      </c>
      <c r="E57" s="247">
        <v>168</v>
      </c>
      <c r="F57" s="249" t="s">
        <v>33</v>
      </c>
      <c r="G57" s="210">
        <v>29</v>
      </c>
      <c r="H57" s="210">
        <v>74</v>
      </c>
      <c r="I57" s="211">
        <v>213.1</v>
      </c>
      <c r="J57" s="212" t="s">
        <v>43</v>
      </c>
      <c r="K57" s="48">
        <v>168</v>
      </c>
      <c r="L57" s="48">
        <f>192.9-K57</f>
        <v>24.900000000000006</v>
      </c>
      <c r="M57" s="48"/>
      <c r="N57" s="49"/>
      <c r="O57" s="49"/>
      <c r="P57" s="49"/>
      <c r="Q57" s="50">
        <f t="shared" si="0"/>
        <v>192.9</v>
      </c>
      <c r="R57" s="55" t="s">
        <v>86</v>
      </c>
      <c r="S57" s="183"/>
      <c r="T57" s="40">
        <v>80000</v>
      </c>
      <c r="U57" s="40">
        <f t="shared" si="3"/>
        <v>15432000</v>
      </c>
      <c r="V57" s="99" t="s">
        <v>320</v>
      </c>
      <c r="W57" s="241" t="s">
        <v>61</v>
      </c>
      <c r="X57" s="242">
        <v>5</v>
      </c>
      <c r="Y57" s="267">
        <v>123000</v>
      </c>
      <c r="Z57" s="464">
        <v>1</v>
      </c>
      <c r="AA57" s="467">
        <v>0.8</v>
      </c>
      <c r="AB57" s="40">
        <f t="shared" si="4"/>
        <v>492000</v>
      </c>
      <c r="AC57" s="40">
        <f t="shared" si="5"/>
        <v>77160000</v>
      </c>
      <c r="AD57" s="40">
        <f t="shared" si="6"/>
        <v>2893500</v>
      </c>
      <c r="AE57" s="40">
        <f t="shared" si="7"/>
        <v>0</v>
      </c>
      <c r="AF57" s="56">
        <f t="shared" si="8"/>
        <v>95977500</v>
      </c>
      <c r="AG57" s="504">
        <f>SUM(AF57:AF60)</f>
        <v>879068700</v>
      </c>
      <c r="AH57" s="69" t="s">
        <v>221</v>
      </c>
    </row>
    <row r="58" spans="1:34" ht="55.5" customHeight="1" x14ac:dyDescent="0.25">
      <c r="A58" s="94">
        <v>16</v>
      </c>
      <c r="B58" s="95" t="s">
        <v>220</v>
      </c>
      <c r="C58" s="246"/>
      <c r="D58" s="246"/>
      <c r="E58" s="247"/>
      <c r="F58" s="249" t="s">
        <v>33</v>
      </c>
      <c r="G58" s="210">
        <v>29</v>
      </c>
      <c r="H58" s="210">
        <v>74</v>
      </c>
      <c r="I58" s="211"/>
      <c r="J58" s="212"/>
      <c r="K58" s="48"/>
      <c r="L58" s="48"/>
      <c r="M58" s="48"/>
      <c r="N58" s="49"/>
      <c r="O58" s="49"/>
      <c r="P58" s="49"/>
      <c r="Q58" s="50"/>
      <c r="R58" s="55"/>
      <c r="S58" s="183"/>
      <c r="T58" s="40"/>
      <c r="U58" s="40">
        <f t="shared" si="3"/>
        <v>0</v>
      </c>
      <c r="V58" s="99" t="s">
        <v>322</v>
      </c>
      <c r="W58" s="241" t="s">
        <v>61</v>
      </c>
      <c r="X58" s="242">
        <v>15</v>
      </c>
      <c r="Y58" s="267">
        <v>40000</v>
      </c>
      <c r="Z58" s="464">
        <v>1</v>
      </c>
      <c r="AA58" s="467">
        <v>0.8</v>
      </c>
      <c r="AB58" s="40">
        <f t="shared" si="4"/>
        <v>480000</v>
      </c>
      <c r="AC58" s="40">
        <f t="shared" si="5"/>
        <v>0</v>
      </c>
      <c r="AD58" s="40">
        <f t="shared" si="6"/>
        <v>0</v>
      </c>
      <c r="AE58" s="40">
        <f t="shared" si="7"/>
        <v>0</v>
      </c>
      <c r="AF58" s="56">
        <f t="shared" si="8"/>
        <v>480000</v>
      </c>
      <c r="AG58" s="504"/>
      <c r="AH58" s="69"/>
    </row>
    <row r="59" spans="1:34" ht="30" customHeight="1" x14ac:dyDescent="0.25">
      <c r="A59" s="94">
        <v>16</v>
      </c>
      <c r="B59" s="95" t="s">
        <v>220</v>
      </c>
      <c r="C59" s="246">
        <v>5</v>
      </c>
      <c r="D59" s="246">
        <v>79</v>
      </c>
      <c r="E59" s="247">
        <v>864</v>
      </c>
      <c r="F59" s="249" t="s">
        <v>33</v>
      </c>
      <c r="G59" s="210">
        <v>28</v>
      </c>
      <c r="H59" s="210">
        <v>611</v>
      </c>
      <c r="I59" s="211">
        <v>860.9</v>
      </c>
      <c r="J59" s="212" t="s">
        <v>7</v>
      </c>
      <c r="K59" s="48">
        <v>860.9</v>
      </c>
      <c r="L59" s="48"/>
      <c r="M59" s="48"/>
      <c r="N59" s="49"/>
      <c r="O59" s="49"/>
      <c r="P59" s="49"/>
      <c r="Q59" s="50">
        <f t="shared" si="0"/>
        <v>860.9</v>
      </c>
      <c r="R59" s="55" t="str">
        <f t="shared" si="1"/>
        <v>LUC</v>
      </c>
      <c r="S59" s="183"/>
      <c r="T59" s="40">
        <v>80000</v>
      </c>
      <c r="U59" s="40">
        <f t="shared" si="3"/>
        <v>68872000</v>
      </c>
      <c r="V59" s="96" t="s">
        <v>64</v>
      </c>
      <c r="W59" s="241" t="s">
        <v>24</v>
      </c>
      <c r="X59" s="242">
        <f t="shared" ref="X59:X62" si="17">Q59</f>
        <v>860.9</v>
      </c>
      <c r="Y59" s="267">
        <v>9000</v>
      </c>
      <c r="Z59" s="464">
        <v>1</v>
      </c>
      <c r="AA59" s="467">
        <v>1</v>
      </c>
      <c r="AB59" s="40">
        <f t="shared" si="4"/>
        <v>7748100</v>
      </c>
      <c r="AC59" s="40">
        <f t="shared" si="5"/>
        <v>344360000</v>
      </c>
      <c r="AD59" s="40">
        <f t="shared" si="6"/>
        <v>12913500</v>
      </c>
      <c r="AE59" s="40">
        <f t="shared" si="7"/>
        <v>0</v>
      </c>
      <c r="AF59" s="56">
        <f t="shared" si="8"/>
        <v>433893600</v>
      </c>
      <c r="AG59" s="504"/>
      <c r="AH59" s="69"/>
    </row>
    <row r="60" spans="1:34" ht="30" customHeight="1" x14ac:dyDescent="0.25">
      <c r="A60" s="94">
        <v>16</v>
      </c>
      <c r="B60" s="95" t="s">
        <v>220</v>
      </c>
      <c r="C60" s="246">
        <v>5</v>
      </c>
      <c r="D60" s="246">
        <v>33</v>
      </c>
      <c r="E60" s="247">
        <v>432</v>
      </c>
      <c r="F60" s="249" t="s">
        <v>33</v>
      </c>
      <c r="G60" s="210">
        <v>29</v>
      </c>
      <c r="H60" s="210">
        <v>32</v>
      </c>
      <c r="I60" s="211">
        <v>691.9</v>
      </c>
      <c r="J60" s="212" t="s">
        <v>7</v>
      </c>
      <c r="K60" s="48">
        <v>432</v>
      </c>
      <c r="L60" s="48">
        <f>I60-K60</f>
        <v>259.89999999999998</v>
      </c>
      <c r="M60" s="48"/>
      <c r="N60" s="49"/>
      <c r="O60" s="49"/>
      <c r="P60" s="49"/>
      <c r="Q60" s="50">
        <f t="shared" si="0"/>
        <v>691.9</v>
      </c>
      <c r="R60" s="55" t="str">
        <f t="shared" si="1"/>
        <v>LUC</v>
      </c>
      <c r="S60" s="183"/>
      <c r="T60" s="40">
        <v>80000</v>
      </c>
      <c r="U60" s="40">
        <f t="shared" si="3"/>
        <v>55352000</v>
      </c>
      <c r="V60" s="96" t="s">
        <v>64</v>
      </c>
      <c r="W60" s="241" t="s">
        <v>24</v>
      </c>
      <c r="X60" s="242">
        <f t="shared" si="17"/>
        <v>691.9</v>
      </c>
      <c r="Y60" s="267">
        <v>9000</v>
      </c>
      <c r="Z60" s="464">
        <v>1</v>
      </c>
      <c r="AA60" s="467">
        <v>1</v>
      </c>
      <c r="AB60" s="40">
        <f t="shared" si="4"/>
        <v>6227100</v>
      </c>
      <c r="AC60" s="40">
        <f t="shared" si="5"/>
        <v>276760000</v>
      </c>
      <c r="AD60" s="40">
        <f t="shared" si="6"/>
        <v>10378500</v>
      </c>
      <c r="AE60" s="40">
        <f t="shared" si="7"/>
        <v>0</v>
      </c>
      <c r="AF60" s="56">
        <f t="shared" si="8"/>
        <v>348717600</v>
      </c>
      <c r="AG60" s="504"/>
      <c r="AH60" s="69"/>
    </row>
    <row r="61" spans="1:34" ht="45" x14ac:dyDescent="0.25">
      <c r="A61" s="94">
        <v>17</v>
      </c>
      <c r="B61" s="95" t="s">
        <v>222</v>
      </c>
      <c r="C61" s="246"/>
      <c r="D61" s="246"/>
      <c r="E61" s="247"/>
      <c r="F61" s="249" t="s">
        <v>33</v>
      </c>
      <c r="G61" s="210">
        <v>29</v>
      </c>
      <c r="H61" s="210">
        <v>79</v>
      </c>
      <c r="I61" s="211">
        <v>225</v>
      </c>
      <c r="J61" s="212" t="s">
        <v>7</v>
      </c>
      <c r="K61" s="48"/>
      <c r="L61" s="48">
        <v>170.7</v>
      </c>
      <c r="M61" s="48"/>
      <c r="N61" s="49"/>
      <c r="O61" s="49"/>
      <c r="P61" s="49"/>
      <c r="Q61" s="50">
        <f t="shared" si="0"/>
        <v>170.7</v>
      </c>
      <c r="R61" s="55" t="str">
        <f t="shared" si="1"/>
        <v>LUC</v>
      </c>
      <c r="S61" s="183"/>
      <c r="T61" s="40">
        <v>80000</v>
      </c>
      <c r="U61" s="40">
        <f t="shared" si="3"/>
        <v>13656000</v>
      </c>
      <c r="V61" s="96" t="s">
        <v>64</v>
      </c>
      <c r="W61" s="241" t="s">
        <v>24</v>
      </c>
      <c r="X61" s="242">
        <f t="shared" si="17"/>
        <v>170.7</v>
      </c>
      <c r="Y61" s="267">
        <v>9000</v>
      </c>
      <c r="Z61" s="464">
        <v>1</v>
      </c>
      <c r="AA61" s="467">
        <v>1</v>
      </c>
      <c r="AB61" s="40">
        <f t="shared" si="4"/>
        <v>1536300</v>
      </c>
      <c r="AC61" s="40">
        <f t="shared" si="5"/>
        <v>68280000</v>
      </c>
      <c r="AD61" s="40">
        <f t="shared" si="6"/>
        <v>2560500</v>
      </c>
      <c r="AE61" s="40">
        <f t="shared" si="7"/>
        <v>0</v>
      </c>
      <c r="AF61" s="56">
        <f t="shared" si="8"/>
        <v>86032800</v>
      </c>
      <c r="AG61" s="504">
        <f>SUM(AF61:AF64)</f>
        <v>345081620</v>
      </c>
      <c r="AH61" s="69" t="s">
        <v>223</v>
      </c>
    </row>
    <row r="62" spans="1:34" ht="30" customHeight="1" x14ac:dyDescent="0.25">
      <c r="A62" s="94">
        <v>17</v>
      </c>
      <c r="B62" s="95" t="s">
        <v>222</v>
      </c>
      <c r="C62" s="246"/>
      <c r="D62" s="246"/>
      <c r="E62" s="216"/>
      <c r="F62" s="249" t="s">
        <v>33</v>
      </c>
      <c r="G62" s="210">
        <v>29</v>
      </c>
      <c r="H62" s="210">
        <v>75</v>
      </c>
      <c r="I62" s="211">
        <v>195.8</v>
      </c>
      <c r="J62" s="212" t="s">
        <v>7</v>
      </c>
      <c r="K62" s="48"/>
      <c r="L62" s="48">
        <v>195.8</v>
      </c>
      <c r="M62" s="48"/>
      <c r="N62" s="49"/>
      <c r="O62" s="49"/>
      <c r="P62" s="49"/>
      <c r="Q62" s="50">
        <f t="shared" si="0"/>
        <v>195.8</v>
      </c>
      <c r="R62" s="55" t="str">
        <f t="shared" si="1"/>
        <v>LUC</v>
      </c>
      <c r="S62" s="183"/>
      <c r="T62" s="40">
        <v>80000</v>
      </c>
      <c r="U62" s="40">
        <f t="shared" si="3"/>
        <v>15664000</v>
      </c>
      <c r="V62" s="96" t="s">
        <v>64</v>
      </c>
      <c r="W62" s="241" t="s">
        <v>24</v>
      </c>
      <c r="X62" s="242">
        <f t="shared" si="17"/>
        <v>195.8</v>
      </c>
      <c r="Y62" s="267">
        <v>9000</v>
      </c>
      <c r="Z62" s="464">
        <v>1</v>
      </c>
      <c r="AA62" s="467">
        <v>1</v>
      </c>
      <c r="AB62" s="40">
        <f t="shared" si="4"/>
        <v>1762200</v>
      </c>
      <c r="AC62" s="40">
        <f t="shared" si="5"/>
        <v>78320000</v>
      </c>
      <c r="AD62" s="40">
        <f t="shared" si="6"/>
        <v>2937000</v>
      </c>
      <c r="AE62" s="40">
        <f t="shared" si="7"/>
        <v>0</v>
      </c>
      <c r="AF62" s="56">
        <f t="shared" si="8"/>
        <v>98683200</v>
      </c>
      <c r="AG62" s="504"/>
      <c r="AH62" s="6"/>
    </row>
    <row r="63" spans="1:34" ht="66.75" customHeight="1" x14ac:dyDescent="0.25">
      <c r="A63" s="94">
        <v>17</v>
      </c>
      <c r="B63" s="95" t="s">
        <v>222</v>
      </c>
      <c r="C63" s="246">
        <v>5</v>
      </c>
      <c r="D63" s="246">
        <v>64</v>
      </c>
      <c r="E63" s="216">
        <v>540</v>
      </c>
      <c r="F63" s="249" t="s">
        <v>33</v>
      </c>
      <c r="G63" s="210">
        <v>29</v>
      </c>
      <c r="H63" s="210">
        <v>80</v>
      </c>
      <c r="I63" s="211">
        <v>773</v>
      </c>
      <c r="J63" s="212" t="s">
        <v>7</v>
      </c>
      <c r="K63" s="48">
        <v>316.3</v>
      </c>
      <c r="L63" s="48"/>
      <c r="M63" s="48"/>
      <c r="N63" s="49"/>
      <c r="O63" s="49"/>
      <c r="P63" s="49"/>
      <c r="Q63" s="50">
        <f t="shared" si="0"/>
        <v>316.3</v>
      </c>
      <c r="R63" s="55" t="str">
        <f t="shared" si="1"/>
        <v>LUC</v>
      </c>
      <c r="S63" s="183"/>
      <c r="T63" s="40">
        <v>80000</v>
      </c>
      <c r="U63" s="40">
        <f t="shared" si="3"/>
        <v>25304000</v>
      </c>
      <c r="V63" s="99" t="s">
        <v>259</v>
      </c>
      <c r="W63" s="243" t="s">
        <v>61</v>
      </c>
      <c r="X63" s="242">
        <v>64</v>
      </c>
      <c r="Y63" s="267">
        <v>34000</v>
      </c>
      <c r="Z63" s="464">
        <v>1</v>
      </c>
      <c r="AA63" s="467">
        <v>0.8</v>
      </c>
      <c r="AB63" s="40">
        <f t="shared" si="4"/>
        <v>1740800</v>
      </c>
      <c r="AC63" s="40">
        <f t="shared" si="5"/>
        <v>126520000</v>
      </c>
      <c r="AD63" s="40">
        <f t="shared" si="6"/>
        <v>4744500</v>
      </c>
      <c r="AE63" s="40">
        <f t="shared" si="7"/>
        <v>0</v>
      </c>
      <c r="AF63" s="56">
        <f t="shared" si="8"/>
        <v>158309300</v>
      </c>
      <c r="AG63" s="504"/>
      <c r="AH63" s="69" t="s">
        <v>224</v>
      </c>
    </row>
    <row r="64" spans="1:34" ht="72" customHeight="1" x14ac:dyDescent="0.25">
      <c r="A64" s="94">
        <v>17</v>
      </c>
      <c r="B64" s="95" t="s">
        <v>222</v>
      </c>
      <c r="C64" s="246"/>
      <c r="D64" s="246"/>
      <c r="E64" s="216"/>
      <c r="F64" s="249" t="s">
        <v>33</v>
      </c>
      <c r="G64" s="210">
        <v>29</v>
      </c>
      <c r="H64" s="210">
        <v>80</v>
      </c>
      <c r="I64" s="211"/>
      <c r="J64" s="212"/>
      <c r="K64" s="48"/>
      <c r="L64" s="48"/>
      <c r="M64" s="48"/>
      <c r="N64" s="49"/>
      <c r="O64" s="49"/>
      <c r="P64" s="49"/>
      <c r="Q64" s="50"/>
      <c r="R64" s="55"/>
      <c r="S64" s="183"/>
      <c r="T64" s="40"/>
      <c r="U64" s="40">
        <f t="shared" si="3"/>
        <v>0</v>
      </c>
      <c r="V64" s="99" t="s">
        <v>259</v>
      </c>
      <c r="W64" s="243" t="s">
        <v>61</v>
      </c>
      <c r="X64" s="242">
        <f>316-64</f>
        <v>252</v>
      </c>
      <c r="Y64" s="267">
        <v>34000</v>
      </c>
      <c r="Z64" s="464">
        <v>0.3</v>
      </c>
      <c r="AA64" s="467">
        <v>0.8</v>
      </c>
      <c r="AB64" s="40">
        <f t="shared" si="4"/>
        <v>2056320</v>
      </c>
      <c r="AC64" s="40">
        <f t="shared" si="5"/>
        <v>0</v>
      </c>
      <c r="AD64" s="40">
        <f t="shared" si="6"/>
        <v>0</v>
      </c>
      <c r="AE64" s="40">
        <f t="shared" si="7"/>
        <v>0</v>
      </c>
      <c r="AF64" s="56">
        <f t="shared" si="8"/>
        <v>2056320</v>
      </c>
      <c r="AG64" s="504"/>
      <c r="AH64" s="264" t="s">
        <v>447</v>
      </c>
    </row>
    <row r="65" spans="1:34" ht="30" customHeight="1" x14ac:dyDescent="0.25">
      <c r="A65" s="94">
        <v>18</v>
      </c>
      <c r="B65" s="95" t="s">
        <v>225</v>
      </c>
      <c r="C65" s="246">
        <v>5</v>
      </c>
      <c r="D65" s="246">
        <v>39</v>
      </c>
      <c r="E65" s="216">
        <v>1464</v>
      </c>
      <c r="F65" s="249" t="s">
        <v>33</v>
      </c>
      <c r="G65" s="210">
        <v>29</v>
      </c>
      <c r="H65" s="210">
        <v>28</v>
      </c>
      <c r="I65" s="211">
        <v>981.9</v>
      </c>
      <c r="J65" s="212" t="s">
        <v>7</v>
      </c>
      <c r="K65" s="48">
        <v>744</v>
      </c>
      <c r="L65" s="48">
        <f>I65-K65</f>
        <v>237.89999999999998</v>
      </c>
      <c r="M65" s="48"/>
      <c r="N65" s="49"/>
      <c r="O65" s="49"/>
      <c r="P65" s="49"/>
      <c r="Q65" s="50">
        <f t="shared" si="0"/>
        <v>981.9</v>
      </c>
      <c r="R65" s="55" t="str">
        <f t="shared" si="1"/>
        <v>LUC</v>
      </c>
      <c r="S65" s="183"/>
      <c r="T65" s="40">
        <v>80000</v>
      </c>
      <c r="U65" s="40">
        <f t="shared" si="3"/>
        <v>78552000</v>
      </c>
      <c r="V65" s="96" t="s">
        <v>64</v>
      </c>
      <c r="W65" s="241" t="s">
        <v>24</v>
      </c>
      <c r="X65" s="242">
        <f t="shared" ref="X65:X67" si="18">Q65</f>
        <v>981.9</v>
      </c>
      <c r="Y65" s="267">
        <v>9000</v>
      </c>
      <c r="Z65" s="464">
        <v>1</v>
      </c>
      <c r="AA65" s="467">
        <v>1</v>
      </c>
      <c r="AB65" s="40">
        <f t="shared" si="4"/>
        <v>8837100</v>
      </c>
      <c r="AC65" s="40">
        <f t="shared" si="5"/>
        <v>392760000</v>
      </c>
      <c r="AD65" s="40">
        <f t="shared" si="6"/>
        <v>14728500</v>
      </c>
      <c r="AE65" s="40">
        <f t="shared" si="7"/>
        <v>0</v>
      </c>
      <c r="AF65" s="56">
        <f t="shared" si="8"/>
        <v>494877600</v>
      </c>
      <c r="AG65" s="504">
        <f>SUM(AF65:AF69)</f>
        <v>1355591080</v>
      </c>
      <c r="AH65" s="6"/>
    </row>
    <row r="66" spans="1:34" ht="30" customHeight="1" x14ac:dyDescent="0.25">
      <c r="A66" s="94">
        <v>18</v>
      </c>
      <c r="B66" s="95" t="s">
        <v>225</v>
      </c>
      <c r="C66" s="246"/>
      <c r="D66" s="246"/>
      <c r="E66" s="216"/>
      <c r="F66" s="249" t="s">
        <v>33</v>
      </c>
      <c r="G66" s="210">
        <v>29</v>
      </c>
      <c r="H66" s="210">
        <v>25</v>
      </c>
      <c r="I66" s="211">
        <v>388.7</v>
      </c>
      <c r="J66" s="212" t="s">
        <v>7</v>
      </c>
      <c r="K66" s="48">
        <v>360</v>
      </c>
      <c r="L66" s="48">
        <f t="shared" ref="L66:L67" si="19">I66-K66</f>
        <v>28.699999999999989</v>
      </c>
      <c r="M66" s="48"/>
      <c r="N66" s="49"/>
      <c r="O66" s="49"/>
      <c r="P66" s="49"/>
      <c r="Q66" s="50">
        <f t="shared" si="0"/>
        <v>388.7</v>
      </c>
      <c r="R66" s="55" t="str">
        <f t="shared" si="1"/>
        <v>LUC</v>
      </c>
      <c r="S66" s="183"/>
      <c r="T66" s="40">
        <v>80000</v>
      </c>
      <c r="U66" s="40">
        <f t="shared" si="3"/>
        <v>31096000</v>
      </c>
      <c r="V66" s="96" t="s">
        <v>64</v>
      </c>
      <c r="W66" s="241" t="s">
        <v>24</v>
      </c>
      <c r="X66" s="242">
        <f t="shared" si="18"/>
        <v>388.7</v>
      </c>
      <c r="Y66" s="267">
        <v>9000</v>
      </c>
      <c r="Z66" s="464">
        <v>1</v>
      </c>
      <c r="AA66" s="467">
        <v>1</v>
      </c>
      <c r="AB66" s="40">
        <f t="shared" si="4"/>
        <v>3498300</v>
      </c>
      <c r="AC66" s="40">
        <f t="shared" si="5"/>
        <v>155480000</v>
      </c>
      <c r="AD66" s="40">
        <f t="shared" si="6"/>
        <v>5830500</v>
      </c>
      <c r="AE66" s="40">
        <f t="shared" si="7"/>
        <v>0</v>
      </c>
      <c r="AF66" s="56">
        <f t="shared" si="8"/>
        <v>195904800</v>
      </c>
      <c r="AG66" s="504"/>
      <c r="AH66" s="69"/>
    </row>
    <row r="67" spans="1:34" ht="30" customHeight="1" x14ac:dyDescent="0.25">
      <c r="A67" s="94">
        <v>18</v>
      </c>
      <c r="B67" s="95" t="s">
        <v>225</v>
      </c>
      <c r="C67" s="246"/>
      <c r="D67" s="246"/>
      <c r="E67" s="247"/>
      <c r="F67" s="249" t="s">
        <v>33</v>
      </c>
      <c r="G67" s="210">
        <v>29</v>
      </c>
      <c r="H67" s="210">
        <v>24</v>
      </c>
      <c r="I67" s="211">
        <v>421.2</v>
      </c>
      <c r="J67" s="212" t="s">
        <v>7</v>
      </c>
      <c r="K67" s="48">
        <v>360</v>
      </c>
      <c r="L67" s="48">
        <f t="shared" si="19"/>
        <v>61.199999999999989</v>
      </c>
      <c r="M67" s="48"/>
      <c r="N67" s="49"/>
      <c r="O67" s="49"/>
      <c r="P67" s="49"/>
      <c r="Q67" s="50">
        <f t="shared" si="0"/>
        <v>421.2</v>
      </c>
      <c r="R67" s="55" t="str">
        <f t="shared" si="1"/>
        <v>LUC</v>
      </c>
      <c r="S67" s="183"/>
      <c r="T67" s="40">
        <v>80000</v>
      </c>
      <c r="U67" s="40">
        <f t="shared" si="3"/>
        <v>33696000</v>
      </c>
      <c r="V67" s="96" t="s">
        <v>64</v>
      </c>
      <c r="W67" s="241" t="s">
        <v>24</v>
      </c>
      <c r="X67" s="242">
        <f t="shared" si="18"/>
        <v>421.2</v>
      </c>
      <c r="Y67" s="267">
        <v>9000</v>
      </c>
      <c r="Z67" s="464">
        <v>1</v>
      </c>
      <c r="AA67" s="467">
        <v>1</v>
      </c>
      <c r="AB67" s="40">
        <f t="shared" si="4"/>
        <v>3790800</v>
      </c>
      <c r="AC67" s="40">
        <f t="shared" si="5"/>
        <v>168480000</v>
      </c>
      <c r="AD67" s="40">
        <f t="shared" si="6"/>
        <v>6318000</v>
      </c>
      <c r="AE67" s="40">
        <f t="shared" si="7"/>
        <v>0</v>
      </c>
      <c r="AF67" s="56">
        <f t="shared" si="8"/>
        <v>212284800</v>
      </c>
      <c r="AG67" s="504"/>
      <c r="AH67" s="110"/>
    </row>
    <row r="68" spans="1:34" ht="69" customHeight="1" x14ac:dyDescent="0.25">
      <c r="A68" s="94">
        <v>18</v>
      </c>
      <c r="B68" s="95" t="s">
        <v>225</v>
      </c>
      <c r="C68" s="246">
        <v>4</v>
      </c>
      <c r="D68" s="246">
        <v>46</v>
      </c>
      <c r="E68" s="247">
        <v>1200</v>
      </c>
      <c r="F68" s="249" t="s">
        <v>33</v>
      </c>
      <c r="G68" s="210">
        <v>29</v>
      </c>
      <c r="H68" s="210">
        <v>857</v>
      </c>
      <c r="I68" s="211">
        <v>1361</v>
      </c>
      <c r="J68" s="212" t="s">
        <v>7</v>
      </c>
      <c r="K68" s="48">
        <v>892.6</v>
      </c>
      <c r="L68" s="48"/>
      <c r="M68" s="48"/>
      <c r="N68" s="49"/>
      <c r="O68" s="49"/>
      <c r="P68" s="49"/>
      <c r="Q68" s="50">
        <f t="shared" si="0"/>
        <v>892.6</v>
      </c>
      <c r="R68" s="55" t="str">
        <f t="shared" si="1"/>
        <v>LUC</v>
      </c>
      <c r="S68" s="183"/>
      <c r="T68" s="40">
        <v>80000</v>
      </c>
      <c r="U68" s="40">
        <f t="shared" si="3"/>
        <v>71408000</v>
      </c>
      <c r="V68" s="99" t="s">
        <v>259</v>
      </c>
      <c r="W68" s="243" t="s">
        <v>61</v>
      </c>
      <c r="X68" s="242">
        <v>179</v>
      </c>
      <c r="Y68" s="267">
        <v>34000</v>
      </c>
      <c r="Z68" s="464">
        <v>1</v>
      </c>
      <c r="AA68" s="467">
        <v>0.8</v>
      </c>
      <c r="AB68" s="40">
        <f t="shared" si="4"/>
        <v>4868800</v>
      </c>
      <c r="AC68" s="40">
        <f t="shared" si="5"/>
        <v>357040000</v>
      </c>
      <c r="AD68" s="40">
        <f t="shared" si="6"/>
        <v>13389000</v>
      </c>
      <c r="AE68" s="40">
        <f t="shared" si="7"/>
        <v>0</v>
      </c>
      <c r="AF68" s="56">
        <f t="shared" si="8"/>
        <v>446705800</v>
      </c>
      <c r="AG68" s="504"/>
      <c r="AH68" s="69" t="s">
        <v>226</v>
      </c>
    </row>
    <row r="69" spans="1:34" ht="70.5" customHeight="1" x14ac:dyDescent="0.25">
      <c r="A69" s="94">
        <v>18</v>
      </c>
      <c r="B69" s="95" t="s">
        <v>225</v>
      </c>
      <c r="C69" s="246"/>
      <c r="D69" s="246"/>
      <c r="E69" s="247"/>
      <c r="F69" s="249" t="s">
        <v>33</v>
      </c>
      <c r="G69" s="210">
        <v>29</v>
      </c>
      <c r="H69" s="210">
        <v>857</v>
      </c>
      <c r="I69" s="211"/>
      <c r="J69" s="212"/>
      <c r="K69" s="48"/>
      <c r="L69" s="48"/>
      <c r="M69" s="48"/>
      <c r="N69" s="49"/>
      <c r="O69" s="49"/>
      <c r="P69" s="49"/>
      <c r="Q69" s="50"/>
      <c r="R69" s="55"/>
      <c r="S69" s="183"/>
      <c r="T69" s="40"/>
      <c r="U69" s="40">
        <f t="shared" si="3"/>
        <v>0</v>
      </c>
      <c r="V69" s="99" t="s">
        <v>259</v>
      </c>
      <c r="W69" s="243" t="s">
        <v>61</v>
      </c>
      <c r="X69" s="242">
        <f>892-179</f>
        <v>713</v>
      </c>
      <c r="Y69" s="267">
        <v>34000</v>
      </c>
      <c r="Z69" s="464">
        <v>0.3</v>
      </c>
      <c r="AA69" s="467">
        <v>0.8</v>
      </c>
      <c r="AB69" s="40">
        <f t="shared" si="4"/>
        <v>5818080</v>
      </c>
      <c r="AC69" s="40">
        <f t="shared" si="5"/>
        <v>0</v>
      </c>
      <c r="AD69" s="40">
        <f t="shared" si="6"/>
        <v>0</v>
      </c>
      <c r="AE69" s="40">
        <f t="shared" si="7"/>
        <v>0</v>
      </c>
      <c r="AF69" s="56">
        <f t="shared" si="8"/>
        <v>5818080</v>
      </c>
      <c r="AG69" s="504"/>
      <c r="AH69" s="264" t="s">
        <v>447</v>
      </c>
    </row>
    <row r="70" spans="1:34" ht="45" x14ac:dyDescent="0.25">
      <c r="A70" s="94">
        <v>19</v>
      </c>
      <c r="B70" s="95" t="s">
        <v>228</v>
      </c>
      <c r="C70" s="246">
        <v>5</v>
      </c>
      <c r="D70" s="246">
        <v>44</v>
      </c>
      <c r="E70" s="247">
        <v>120</v>
      </c>
      <c r="F70" s="215" t="s">
        <v>229</v>
      </c>
      <c r="G70" s="210">
        <v>29</v>
      </c>
      <c r="H70" s="210">
        <v>73</v>
      </c>
      <c r="I70" s="211">
        <v>213.5</v>
      </c>
      <c r="J70" s="213" t="s">
        <v>43</v>
      </c>
      <c r="K70" s="48">
        <v>11.7</v>
      </c>
      <c r="L70" s="48"/>
      <c r="M70" s="48"/>
      <c r="N70" s="49"/>
      <c r="O70" s="49"/>
      <c r="P70" s="49"/>
      <c r="Q70" s="50">
        <f t="shared" si="0"/>
        <v>11.7</v>
      </c>
      <c r="R70" s="55" t="s">
        <v>86</v>
      </c>
      <c r="S70" s="183"/>
      <c r="T70" s="40">
        <v>80000</v>
      </c>
      <c r="U70" s="40">
        <f t="shared" si="3"/>
        <v>936000</v>
      </c>
      <c r="V70" s="96" t="s">
        <v>64</v>
      </c>
      <c r="W70" s="241" t="s">
        <v>24</v>
      </c>
      <c r="X70" s="242">
        <f t="shared" ref="X70" si="20">Q70</f>
        <v>11.7</v>
      </c>
      <c r="Y70" s="267">
        <v>9000</v>
      </c>
      <c r="Z70" s="464">
        <v>1</v>
      </c>
      <c r="AA70" s="467">
        <v>1</v>
      </c>
      <c r="AB70" s="40">
        <f t="shared" si="4"/>
        <v>105300</v>
      </c>
      <c r="AC70" s="40">
        <f t="shared" si="5"/>
        <v>4680000</v>
      </c>
      <c r="AD70" s="40">
        <f t="shared" si="6"/>
        <v>175500</v>
      </c>
      <c r="AE70" s="40">
        <f t="shared" si="7"/>
        <v>0</v>
      </c>
      <c r="AF70" s="56">
        <f t="shared" si="8"/>
        <v>5896800</v>
      </c>
      <c r="AG70" s="504">
        <f>SUM(AF70:AF75)</f>
        <v>614209850</v>
      </c>
      <c r="AH70" s="69" t="s">
        <v>272</v>
      </c>
    </row>
    <row r="71" spans="1:34" ht="56.25" customHeight="1" x14ac:dyDescent="0.25">
      <c r="A71" s="94">
        <v>19</v>
      </c>
      <c r="B71" s="95" t="s">
        <v>228</v>
      </c>
      <c r="C71" s="246">
        <v>5</v>
      </c>
      <c r="D71" s="246">
        <v>45</v>
      </c>
      <c r="E71" s="247">
        <v>108</v>
      </c>
      <c r="F71" s="214" t="s">
        <v>33</v>
      </c>
      <c r="G71" s="210">
        <v>29</v>
      </c>
      <c r="H71" s="210">
        <v>81</v>
      </c>
      <c r="I71" s="211">
        <v>223.5</v>
      </c>
      <c r="J71" s="213" t="s">
        <v>43</v>
      </c>
      <c r="K71" s="48">
        <v>5.4</v>
      </c>
      <c r="L71" s="48"/>
      <c r="M71" s="48"/>
      <c r="N71" s="49"/>
      <c r="O71" s="49"/>
      <c r="P71" s="49"/>
      <c r="Q71" s="50">
        <f t="shared" si="0"/>
        <v>5.4</v>
      </c>
      <c r="R71" s="55" t="s">
        <v>86</v>
      </c>
      <c r="S71" s="183"/>
      <c r="T71" s="40">
        <v>80000</v>
      </c>
      <c r="U71" s="40">
        <f t="shared" si="3"/>
        <v>432000</v>
      </c>
      <c r="V71" s="99" t="s">
        <v>231</v>
      </c>
      <c r="W71" s="241" t="s">
        <v>61</v>
      </c>
      <c r="X71" s="242">
        <v>2</v>
      </c>
      <c r="Y71" s="267">
        <v>118000</v>
      </c>
      <c r="Z71" s="464">
        <v>1</v>
      </c>
      <c r="AA71" s="467">
        <v>0.8</v>
      </c>
      <c r="AB71" s="40">
        <f t="shared" si="4"/>
        <v>188800</v>
      </c>
      <c r="AC71" s="40">
        <f t="shared" si="5"/>
        <v>2160000</v>
      </c>
      <c r="AD71" s="40">
        <f t="shared" si="6"/>
        <v>81000</v>
      </c>
      <c r="AE71" s="40">
        <f t="shared" si="7"/>
        <v>0</v>
      </c>
      <c r="AF71" s="56">
        <f t="shared" si="8"/>
        <v>2861800</v>
      </c>
      <c r="AG71" s="504"/>
      <c r="AH71" s="69" t="s">
        <v>271</v>
      </c>
    </row>
    <row r="72" spans="1:34" ht="31.5" customHeight="1" x14ac:dyDescent="0.25">
      <c r="A72" s="94">
        <v>19</v>
      </c>
      <c r="B72" s="95" t="s">
        <v>228</v>
      </c>
      <c r="C72" s="246">
        <v>5</v>
      </c>
      <c r="D72" s="246">
        <v>66</v>
      </c>
      <c r="E72" s="247">
        <v>360</v>
      </c>
      <c r="F72" s="214" t="s">
        <v>33</v>
      </c>
      <c r="G72" s="210">
        <v>29</v>
      </c>
      <c r="H72" s="210">
        <v>35</v>
      </c>
      <c r="I72" s="211">
        <v>358.6</v>
      </c>
      <c r="J72" s="213" t="s">
        <v>7</v>
      </c>
      <c r="K72" s="48">
        <v>358.6</v>
      </c>
      <c r="L72" s="48"/>
      <c r="M72" s="48"/>
      <c r="N72" s="49"/>
      <c r="O72" s="49"/>
      <c r="P72" s="49"/>
      <c r="Q72" s="50">
        <f t="shared" si="0"/>
        <v>358.6</v>
      </c>
      <c r="R72" s="55" t="str">
        <f t="shared" si="1"/>
        <v>LUC</v>
      </c>
      <c r="S72" s="183"/>
      <c r="T72" s="40">
        <v>80000</v>
      </c>
      <c r="U72" s="40">
        <f t="shared" si="3"/>
        <v>28688000</v>
      </c>
      <c r="V72" s="96" t="s">
        <v>64</v>
      </c>
      <c r="W72" s="241" t="s">
        <v>24</v>
      </c>
      <c r="X72" s="242">
        <f t="shared" ref="X72:X73" si="21">Q72</f>
        <v>358.6</v>
      </c>
      <c r="Y72" s="267">
        <v>9000</v>
      </c>
      <c r="Z72" s="464">
        <v>1</v>
      </c>
      <c r="AA72" s="467">
        <v>1</v>
      </c>
      <c r="AB72" s="40">
        <f t="shared" si="4"/>
        <v>3227400</v>
      </c>
      <c r="AC72" s="40">
        <f t="shared" si="5"/>
        <v>143440000</v>
      </c>
      <c r="AD72" s="40">
        <f t="shared" si="6"/>
        <v>5379000</v>
      </c>
      <c r="AE72" s="40">
        <f t="shared" si="7"/>
        <v>0</v>
      </c>
      <c r="AF72" s="56">
        <f t="shared" si="8"/>
        <v>180734400</v>
      </c>
      <c r="AG72" s="504"/>
      <c r="AH72" s="6"/>
    </row>
    <row r="73" spans="1:34" ht="67.5" x14ac:dyDescent="0.25">
      <c r="A73" s="94">
        <v>19</v>
      </c>
      <c r="B73" s="95" t="s">
        <v>228</v>
      </c>
      <c r="C73" s="246">
        <v>5</v>
      </c>
      <c r="D73" s="246">
        <v>113</v>
      </c>
      <c r="E73" s="247">
        <v>648</v>
      </c>
      <c r="F73" s="215" t="s">
        <v>201</v>
      </c>
      <c r="G73" s="210">
        <v>28</v>
      </c>
      <c r="H73" s="210">
        <v>686</v>
      </c>
      <c r="I73" s="211">
        <v>728.9</v>
      </c>
      <c r="J73" s="213" t="s">
        <v>7</v>
      </c>
      <c r="K73" s="48">
        <f>648-298.4</f>
        <v>349.6</v>
      </c>
      <c r="L73" s="48">
        <f>I73-K73-298.4</f>
        <v>80.899999999999977</v>
      </c>
      <c r="M73" s="48"/>
      <c r="N73" s="49"/>
      <c r="O73" s="49"/>
      <c r="P73" s="49"/>
      <c r="Q73" s="50">
        <f t="shared" si="0"/>
        <v>430.5</v>
      </c>
      <c r="R73" s="55" t="str">
        <f t="shared" si="1"/>
        <v>LUC</v>
      </c>
      <c r="S73" s="183">
        <v>298.39999999999998</v>
      </c>
      <c r="T73" s="40">
        <v>80000</v>
      </c>
      <c r="U73" s="40">
        <f t="shared" si="3"/>
        <v>34440000</v>
      </c>
      <c r="V73" s="96" t="s">
        <v>64</v>
      </c>
      <c r="W73" s="241" t="s">
        <v>24</v>
      </c>
      <c r="X73" s="242">
        <f t="shared" si="21"/>
        <v>430.5</v>
      </c>
      <c r="Y73" s="267">
        <v>9000</v>
      </c>
      <c r="Z73" s="464">
        <v>1</v>
      </c>
      <c r="AA73" s="467">
        <v>1</v>
      </c>
      <c r="AB73" s="40">
        <f t="shared" si="4"/>
        <v>3874500</v>
      </c>
      <c r="AC73" s="40">
        <f t="shared" si="5"/>
        <v>172200000</v>
      </c>
      <c r="AD73" s="40">
        <f t="shared" si="6"/>
        <v>6457500</v>
      </c>
      <c r="AE73" s="40">
        <f t="shared" si="7"/>
        <v>0</v>
      </c>
      <c r="AF73" s="56">
        <f t="shared" si="8"/>
        <v>216972000</v>
      </c>
      <c r="AG73" s="504"/>
      <c r="AH73" s="44" t="s">
        <v>148</v>
      </c>
    </row>
    <row r="74" spans="1:34" ht="35.25" customHeight="1" x14ac:dyDescent="0.25">
      <c r="A74" s="94">
        <v>19</v>
      </c>
      <c r="B74" s="95" t="s">
        <v>228</v>
      </c>
      <c r="C74" s="246">
        <v>5</v>
      </c>
      <c r="D74" s="246">
        <v>33</v>
      </c>
      <c r="E74" s="247">
        <v>360</v>
      </c>
      <c r="F74" s="214" t="s">
        <v>33</v>
      </c>
      <c r="G74" s="210">
        <v>29</v>
      </c>
      <c r="H74" s="210">
        <v>29</v>
      </c>
      <c r="I74" s="211">
        <v>671.3</v>
      </c>
      <c r="J74" s="213" t="s">
        <v>7</v>
      </c>
      <c r="K74" s="48">
        <v>360</v>
      </c>
      <c r="L74" s="48"/>
      <c r="M74" s="48"/>
      <c r="N74" s="49"/>
      <c r="O74" s="49"/>
      <c r="P74" s="49"/>
      <c r="Q74" s="50">
        <f t="shared" si="0"/>
        <v>360</v>
      </c>
      <c r="R74" s="55" t="str">
        <f t="shared" si="1"/>
        <v>LUC</v>
      </c>
      <c r="S74" s="183"/>
      <c r="T74" s="40">
        <v>80000</v>
      </c>
      <c r="U74" s="40">
        <f t="shared" ref="U74:U88" si="22">(K74+L74+N74+O74)*T74</f>
        <v>28800000</v>
      </c>
      <c r="V74" s="158" t="s">
        <v>64</v>
      </c>
      <c r="W74" s="241" t="s">
        <v>24</v>
      </c>
      <c r="X74" s="242">
        <f>Q74</f>
        <v>360</v>
      </c>
      <c r="Y74" s="267">
        <v>9000</v>
      </c>
      <c r="Z74" s="464">
        <v>1</v>
      </c>
      <c r="AA74" s="467">
        <v>1</v>
      </c>
      <c r="AB74" s="40">
        <f t="shared" ref="AB74:AB115" si="23">X74*(Y74*Z74)*AA74</f>
        <v>3240000</v>
      </c>
      <c r="AC74" s="40">
        <f t="shared" ref="AC74:AC115" si="24">(K74+L74+N74+O74)*T74*5</f>
        <v>144000000</v>
      </c>
      <c r="AD74" s="40">
        <f t="shared" ref="AD74:AD115" si="25">(K74+L74+N74+O74)*15000</f>
        <v>5400000</v>
      </c>
      <c r="AE74" s="40">
        <f t="shared" ref="AE74:AE115" si="26">(M74+P74)*T74*100%</f>
        <v>0</v>
      </c>
      <c r="AF74" s="56">
        <f t="shared" ref="AF74:AF115" si="27">U74+AB74+AC74+AD74+AE74</f>
        <v>181440000</v>
      </c>
      <c r="AG74" s="504"/>
      <c r="AH74" s="164" t="s">
        <v>47</v>
      </c>
    </row>
    <row r="75" spans="1:34" ht="53.25" customHeight="1" x14ac:dyDescent="0.25">
      <c r="A75" s="94">
        <v>19</v>
      </c>
      <c r="B75" s="95" t="s">
        <v>228</v>
      </c>
      <c r="C75" s="246"/>
      <c r="D75" s="246"/>
      <c r="E75" s="247"/>
      <c r="F75" s="214" t="s">
        <v>33</v>
      </c>
      <c r="G75" s="210">
        <v>29</v>
      </c>
      <c r="H75" s="210">
        <v>29</v>
      </c>
      <c r="I75" s="211">
        <v>671.3</v>
      </c>
      <c r="J75" s="213" t="s">
        <v>7</v>
      </c>
      <c r="K75" s="48"/>
      <c r="L75" s="48"/>
      <c r="M75" s="420">
        <v>311.3</v>
      </c>
      <c r="N75" s="49"/>
      <c r="O75" s="49"/>
      <c r="P75" s="49"/>
      <c r="Q75" s="50">
        <f t="shared" si="0"/>
        <v>311.3</v>
      </c>
      <c r="R75" s="55" t="str">
        <f t="shared" si="1"/>
        <v>LUC</v>
      </c>
      <c r="S75" s="183"/>
      <c r="T75" s="40">
        <v>80000</v>
      </c>
      <c r="U75" s="40">
        <f t="shared" si="22"/>
        <v>0</v>
      </c>
      <c r="V75" s="158" t="s">
        <v>64</v>
      </c>
      <c r="W75" s="241" t="s">
        <v>24</v>
      </c>
      <c r="X75" s="242">
        <f>Q75</f>
        <v>311.3</v>
      </c>
      <c r="Y75" s="267">
        <v>9000</v>
      </c>
      <c r="Z75" s="464">
        <v>1</v>
      </c>
      <c r="AA75" s="469">
        <v>0.5</v>
      </c>
      <c r="AB75" s="40">
        <f t="shared" si="23"/>
        <v>1400850</v>
      </c>
      <c r="AC75" s="40">
        <f t="shared" si="24"/>
        <v>0</v>
      </c>
      <c r="AD75" s="40">
        <f t="shared" si="25"/>
        <v>0</v>
      </c>
      <c r="AE75" s="40">
        <f t="shared" si="26"/>
        <v>24904000</v>
      </c>
      <c r="AF75" s="56">
        <f t="shared" si="27"/>
        <v>26304850</v>
      </c>
      <c r="AG75" s="504"/>
      <c r="AH75" s="264" t="s">
        <v>424</v>
      </c>
    </row>
    <row r="76" spans="1:34" ht="36" customHeight="1" x14ac:dyDescent="0.25">
      <c r="A76" s="94">
        <v>20</v>
      </c>
      <c r="B76" s="95" t="s">
        <v>232</v>
      </c>
      <c r="C76" s="246">
        <v>5</v>
      </c>
      <c r="D76" s="246">
        <v>31</v>
      </c>
      <c r="E76" s="247">
        <v>120</v>
      </c>
      <c r="F76" s="249" t="s">
        <v>44</v>
      </c>
      <c r="G76" s="210">
        <v>28</v>
      </c>
      <c r="H76" s="210">
        <v>536</v>
      </c>
      <c r="I76" s="211">
        <v>124.4</v>
      </c>
      <c r="J76" s="212" t="s">
        <v>48</v>
      </c>
      <c r="K76" s="48">
        <v>120</v>
      </c>
      <c r="L76" s="48">
        <v>4.4000000000000004</v>
      </c>
      <c r="M76" s="48"/>
      <c r="N76" s="49"/>
      <c r="O76" s="49"/>
      <c r="P76" s="49"/>
      <c r="Q76" s="50">
        <f t="shared" si="0"/>
        <v>124.4</v>
      </c>
      <c r="R76" s="55" t="str">
        <f t="shared" si="1"/>
        <v>LUK</v>
      </c>
      <c r="S76" s="183"/>
      <c r="T76" s="40">
        <v>80000</v>
      </c>
      <c r="U76" s="40">
        <f t="shared" si="22"/>
        <v>9952000</v>
      </c>
      <c r="V76" s="158" t="s">
        <v>64</v>
      </c>
      <c r="W76" s="241" t="s">
        <v>24</v>
      </c>
      <c r="X76" s="242">
        <f>Q76</f>
        <v>124.4</v>
      </c>
      <c r="Y76" s="267">
        <v>9000</v>
      </c>
      <c r="Z76" s="464">
        <v>1</v>
      </c>
      <c r="AA76" s="467">
        <v>1</v>
      </c>
      <c r="AB76" s="40">
        <f t="shared" si="23"/>
        <v>1119600</v>
      </c>
      <c r="AC76" s="40">
        <f t="shared" si="24"/>
        <v>49760000</v>
      </c>
      <c r="AD76" s="40">
        <f t="shared" si="25"/>
        <v>1866000</v>
      </c>
      <c r="AE76" s="40">
        <f t="shared" si="26"/>
        <v>0</v>
      </c>
      <c r="AF76" s="56">
        <f t="shared" si="27"/>
        <v>62697600</v>
      </c>
      <c r="AG76" s="56">
        <f>AF76</f>
        <v>62697600</v>
      </c>
      <c r="AH76" s="6"/>
    </row>
    <row r="77" spans="1:34" ht="30" customHeight="1" x14ac:dyDescent="0.25">
      <c r="A77" s="94">
        <v>21</v>
      </c>
      <c r="B77" s="95" t="s">
        <v>247</v>
      </c>
      <c r="C77" s="246">
        <v>5</v>
      </c>
      <c r="D77" s="246">
        <v>68</v>
      </c>
      <c r="E77" s="247">
        <v>780</v>
      </c>
      <c r="F77" s="214" t="s">
        <v>33</v>
      </c>
      <c r="G77" s="210">
        <v>29</v>
      </c>
      <c r="H77" s="210">
        <v>21</v>
      </c>
      <c r="I77" s="211">
        <v>1363.6</v>
      </c>
      <c r="J77" s="213" t="s">
        <v>7</v>
      </c>
      <c r="K77" s="48">
        <v>780</v>
      </c>
      <c r="L77" s="48">
        <f>I77-K77</f>
        <v>583.59999999999991</v>
      </c>
      <c r="M77" s="48"/>
      <c r="N77" s="49"/>
      <c r="O77" s="49"/>
      <c r="P77" s="49"/>
      <c r="Q77" s="50">
        <f t="shared" si="0"/>
        <v>1363.6</v>
      </c>
      <c r="R77" s="55" t="str">
        <f t="shared" si="1"/>
        <v>LUC</v>
      </c>
      <c r="S77" s="184"/>
      <c r="T77" s="40">
        <v>80000</v>
      </c>
      <c r="U77" s="40">
        <f t="shared" si="22"/>
        <v>109088000</v>
      </c>
      <c r="V77" s="158" t="s">
        <v>64</v>
      </c>
      <c r="W77" s="241" t="s">
        <v>24</v>
      </c>
      <c r="X77" s="242">
        <f t="shared" ref="X77" si="28">Q77</f>
        <v>1363.6</v>
      </c>
      <c r="Y77" s="267">
        <v>9000</v>
      </c>
      <c r="Z77" s="464">
        <v>1</v>
      </c>
      <c r="AA77" s="467">
        <v>1</v>
      </c>
      <c r="AB77" s="40">
        <f t="shared" si="23"/>
        <v>12272400</v>
      </c>
      <c r="AC77" s="40">
        <f t="shared" si="24"/>
        <v>545440000</v>
      </c>
      <c r="AD77" s="40">
        <f t="shared" si="25"/>
        <v>20454000</v>
      </c>
      <c r="AE77" s="40">
        <f t="shared" si="26"/>
        <v>0</v>
      </c>
      <c r="AF77" s="56">
        <f t="shared" si="27"/>
        <v>687254400</v>
      </c>
      <c r="AG77" s="504">
        <f>SUM(AF77:AF82)</f>
        <v>1113202100</v>
      </c>
      <c r="AH77" s="6"/>
    </row>
    <row r="78" spans="1:34" ht="30" customHeight="1" x14ac:dyDescent="0.25">
      <c r="A78" s="94">
        <v>21</v>
      </c>
      <c r="B78" s="95" t="s">
        <v>247</v>
      </c>
      <c r="C78" s="246"/>
      <c r="D78" s="246"/>
      <c r="E78" s="247"/>
      <c r="F78" s="214" t="s">
        <v>33</v>
      </c>
      <c r="G78" s="210">
        <v>29</v>
      </c>
      <c r="H78" s="210">
        <v>42</v>
      </c>
      <c r="I78" s="211">
        <v>257.8</v>
      </c>
      <c r="J78" s="213" t="s">
        <v>7</v>
      </c>
      <c r="K78" s="48"/>
      <c r="L78" s="48">
        <v>257.8</v>
      </c>
      <c r="M78" s="48"/>
      <c r="N78" s="49"/>
      <c r="O78" s="49"/>
      <c r="P78" s="49"/>
      <c r="Q78" s="50">
        <f t="shared" si="0"/>
        <v>257.8</v>
      </c>
      <c r="R78" s="55" t="str">
        <f t="shared" si="1"/>
        <v>LUC</v>
      </c>
      <c r="S78" s="185"/>
      <c r="T78" s="40">
        <v>80000</v>
      </c>
      <c r="U78" s="40">
        <f t="shared" si="22"/>
        <v>20624000</v>
      </c>
      <c r="V78" s="158" t="s">
        <v>64</v>
      </c>
      <c r="W78" s="241" t="s">
        <v>24</v>
      </c>
      <c r="X78" s="242">
        <f>Q78</f>
        <v>257.8</v>
      </c>
      <c r="Y78" s="267">
        <v>9000</v>
      </c>
      <c r="Z78" s="464">
        <v>1</v>
      </c>
      <c r="AA78" s="467">
        <v>1</v>
      </c>
      <c r="AB78" s="40">
        <f t="shared" si="23"/>
        <v>2320200</v>
      </c>
      <c r="AC78" s="40">
        <f t="shared" si="24"/>
        <v>103120000</v>
      </c>
      <c r="AD78" s="40">
        <f t="shared" si="25"/>
        <v>3867000</v>
      </c>
      <c r="AE78" s="40">
        <f t="shared" si="26"/>
        <v>0</v>
      </c>
      <c r="AF78" s="56">
        <f t="shared" si="27"/>
        <v>129931200</v>
      </c>
      <c r="AG78" s="504"/>
      <c r="AH78" s="69" t="s">
        <v>325</v>
      </c>
    </row>
    <row r="79" spans="1:34" ht="37.5" customHeight="1" x14ac:dyDescent="0.25">
      <c r="A79" s="94">
        <v>21</v>
      </c>
      <c r="B79" s="95" t="s">
        <v>247</v>
      </c>
      <c r="C79" s="246">
        <v>5</v>
      </c>
      <c r="D79" s="246">
        <v>33</v>
      </c>
      <c r="E79" s="247">
        <v>120</v>
      </c>
      <c r="F79" s="214" t="s">
        <v>33</v>
      </c>
      <c r="G79" s="210">
        <v>29</v>
      </c>
      <c r="H79" s="210">
        <v>53</v>
      </c>
      <c r="I79" s="211">
        <v>189.7</v>
      </c>
      <c r="J79" s="213" t="s">
        <v>7</v>
      </c>
      <c r="K79" s="48">
        <v>120</v>
      </c>
      <c r="L79" s="48">
        <v>50.4</v>
      </c>
      <c r="M79" s="48"/>
      <c r="N79" s="49"/>
      <c r="O79" s="49">
        <f>I79-K79-L79</f>
        <v>19.29999999999999</v>
      </c>
      <c r="P79" s="49"/>
      <c r="Q79" s="50">
        <f t="shared" si="0"/>
        <v>189.7</v>
      </c>
      <c r="R79" s="55" t="str">
        <f t="shared" si="1"/>
        <v>LUC</v>
      </c>
      <c r="S79" s="185"/>
      <c r="T79" s="40">
        <v>80000</v>
      </c>
      <c r="U79" s="40">
        <f t="shared" si="22"/>
        <v>15176000</v>
      </c>
      <c r="V79" s="158" t="s">
        <v>64</v>
      </c>
      <c r="W79" s="241" t="s">
        <v>24</v>
      </c>
      <c r="X79" s="242">
        <f>Q79</f>
        <v>189.7</v>
      </c>
      <c r="Y79" s="267">
        <v>9000</v>
      </c>
      <c r="Z79" s="464">
        <v>1</v>
      </c>
      <c r="AA79" s="467">
        <v>1</v>
      </c>
      <c r="AB79" s="40">
        <f t="shared" si="23"/>
        <v>1707300</v>
      </c>
      <c r="AC79" s="40">
        <f t="shared" si="24"/>
        <v>75880000</v>
      </c>
      <c r="AD79" s="40">
        <f t="shared" si="25"/>
        <v>2845500</v>
      </c>
      <c r="AE79" s="40">
        <f t="shared" si="26"/>
        <v>0</v>
      </c>
      <c r="AF79" s="56">
        <f t="shared" si="27"/>
        <v>95608800</v>
      </c>
      <c r="AG79" s="504"/>
      <c r="AH79" s="69" t="s">
        <v>428</v>
      </c>
    </row>
    <row r="80" spans="1:34" ht="82.5" customHeight="1" x14ac:dyDescent="0.25">
      <c r="A80" s="94">
        <v>21</v>
      </c>
      <c r="B80" s="95" t="s">
        <v>247</v>
      </c>
      <c r="C80" s="246">
        <v>4</v>
      </c>
      <c r="D80" s="246">
        <v>211</v>
      </c>
      <c r="E80" s="247">
        <v>324</v>
      </c>
      <c r="F80" s="214" t="s">
        <v>44</v>
      </c>
      <c r="G80" s="210">
        <v>28</v>
      </c>
      <c r="H80" s="210">
        <v>600</v>
      </c>
      <c r="I80" s="211">
        <v>358.1</v>
      </c>
      <c r="J80" s="213" t="s">
        <v>48</v>
      </c>
      <c r="K80" s="48">
        <v>21.6</v>
      </c>
      <c r="L80" s="48"/>
      <c r="M80" s="48"/>
      <c r="N80" s="49">
        <f>E80-S80-K80</f>
        <v>60.800000000000004</v>
      </c>
      <c r="O80" s="49">
        <v>34.1</v>
      </c>
      <c r="P80" s="49"/>
      <c r="Q80" s="50">
        <f t="shared" si="0"/>
        <v>116.5</v>
      </c>
      <c r="R80" s="55" t="str">
        <f t="shared" si="1"/>
        <v>LUK</v>
      </c>
      <c r="S80" s="185">
        <v>241.6</v>
      </c>
      <c r="T80" s="40">
        <v>80000</v>
      </c>
      <c r="U80" s="40">
        <f t="shared" si="22"/>
        <v>9320000</v>
      </c>
      <c r="V80" s="158" t="s">
        <v>64</v>
      </c>
      <c r="W80" s="241" t="s">
        <v>24</v>
      </c>
      <c r="X80" s="242">
        <f>Q80</f>
        <v>116.5</v>
      </c>
      <c r="Y80" s="267">
        <v>9000</v>
      </c>
      <c r="Z80" s="464">
        <v>1</v>
      </c>
      <c r="AA80" s="467">
        <v>1</v>
      </c>
      <c r="AB80" s="40">
        <f t="shared" si="23"/>
        <v>1048500</v>
      </c>
      <c r="AC80" s="40">
        <f t="shared" si="24"/>
        <v>46600000</v>
      </c>
      <c r="AD80" s="40">
        <f t="shared" si="25"/>
        <v>1747500</v>
      </c>
      <c r="AE80" s="40">
        <f t="shared" si="26"/>
        <v>0</v>
      </c>
      <c r="AF80" s="56">
        <f t="shared" si="27"/>
        <v>58716000</v>
      </c>
      <c r="AG80" s="504"/>
      <c r="AH80" s="69" t="s">
        <v>448</v>
      </c>
    </row>
    <row r="81" spans="1:34" ht="69" customHeight="1" x14ac:dyDescent="0.25">
      <c r="A81" s="94">
        <v>21</v>
      </c>
      <c r="B81" s="95" t="s">
        <v>247</v>
      </c>
      <c r="C81" s="246">
        <v>5</v>
      </c>
      <c r="D81" s="246">
        <v>136</v>
      </c>
      <c r="E81" s="247">
        <v>276</v>
      </c>
      <c r="F81" s="215" t="s">
        <v>38</v>
      </c>
      <c r="G81" s="210">
        <v>28</v>
      </c>
      <c r="H81" s="210">
        <v>775</v>
      </c>
      <c r="I81" s="211">
        <v>313.10000000000002</v>
      </c>
      <c r="J81" s="213" t="s">
        <v>7</v>
      </c>
      <c r="K81" s="48">
        <f>276-37.6</f>
        <v>238.4</v>
      </c>
      <c r="L81" s="48">
        <f>I81-K81-S81</f>
        <v>37.100000000000016</v>
      </c>
      <c r="M81" s="48"/>
      <c r="N81" s="49"/>
      <c r="O81" s="49"/>
      <c r="P81" s="49"/>
      <c r="Q81" s="50">
        <f t="shared" si="0"/>
        <v>275.5</v>
      </c>
      <c r="R81" s="55" t="str">
        <f t="shared" si="1"/>
        <v>LUC</v>
      </c>
      <c r="S81" s="185">
        <v>37.6</v>
      </c>
      <c r="T81" s="40">
        <v>80000</v>
      </c>
      <c r="U81" s="40">
        <f t="shared" si="22"/>
        <v>22040000</v>
      </c>
      <c r="V81" s="240" t="s">
        <v>250</v>
      </c>
      <c r="W81" s="241" t="s">
        <v>61</v>
      </c>
      <c r="X81" s="242">
        <v>11</v>
      </c>
      <c r="Y81" s="267">
        <v>305000</v>
      </c>
      <c r="Z81" s="464">
        <v>1</v>
      </c>
      <c r="AA81" s="467">
        <v>0.8</v>
      </c>
      <c r="AB81" s="40">
        <f t="shared" si="23"/>
        <v>2684000</v>
      </c>
      <c r="AC81" s="40">
        <f t="shared" si="24"/>
        <v>110200000</v>
      </c>
      <c r="AD81" s="40">
        <f t="shared" si="25"/>
        <v>4132500</v>
      </c>
      <c r="AE81" s="40">
        <f t="shared" si="26"/>
        <v>0</v>
      </c>
      <c r="AF81" s="56">
        <f t="shared" si="27"/>
        <v>139056500</v>
      </c>
      <c r="AG81" s="504"/>
      <c r="AH81" s="44" t="s">
        <v>181</v>
      </c>
    </row>
    <row r="82" spans="1:34" ht="74.25" customHeight="1" x14ac:dyDescent="0.25">
      <c r="A82" s="94">
        <v>21</v>
      </c>
      <c r="B82" s="95" t="s">
        <v>247</v>
      </c>
      <c r="C82" s="246"/>
      <c r="D82" s="246"/>
      <c r="E82" s="247"/>
      <c r="F82" s="215" t="s">
        <v>38</v>
      </c>
      <c r="G82" s="210">
        <v>28</v>
      </c>
      <c r="H82" s="210">
        <v>775</v>
      </c>
      <c r="I82" s="211"/>
      <c r="J82" s="212"/>
      <c r="K82" s="48"/>
      <c r="L82" s="48"/>
      <c r="M82" s="48"/>
      <c r="N82" s="49"/>
      <c r="O82" s="49"/>
      <c r="P82" s="49"/>
      <c r="Q82" s="50">
        <f t="shared" si="0"/>
        <v>0</v>
      </c>
      <c r="R82" s="55">
        <f t="shared" si="1"/>
        <v>0</v>
      </c>
      <c r="S82" s="183"/>
      <c r="T82" s="40"/>
      <c r="U82" s="40">
        <f t="shared" si="22"/>
        <v>0</v>
      </c>
      <c r="V82" s="240" t="s">
        <v>250</v>
      </c>
      <c r="W82" s="241" t="s">
        <v>61</v>
      </c>
      <c r="X82" s="242">
        <v>12</v>
      </c>
      <c r="Y82" s="267">
        <v>305000</v>
      </c>
      <c r="Z82" s="464">
        <v>0.9</v>
      </c>
      <c r="AA82" s="467">
        <v>0.8</v>
      </c>
      <c r="AB82" s="40">
        <f t="shared" si="23"/>
        <v>2635200</v>
      </c>
      <c r="AC82" s="40">
        <f t="shared" si="24"/>
        <v>0</v>
      </c>
      <c r="AD82" s="40">
        <f t="shared" si="25"/>
        <v>0</v>
      </c>
      <c r="AE82" s="40">
        <f t="shared" si="26"/>
        <v>0</v>
      </c>
      <c r="AF82" s="56">
        <f t="shared" si="27"/>
        <v>2635200</v>
      </c>
      <c r="AG82" s="504"/>
      <c r="AH82" s="264" t="s">
        <v>449</v>
      </c>
    </row>
    <row r="83" spans="1:34" ht="30" customHeight="1" x14ac:dyDescent="0.25">
      <c r="A83" s="94">
        <v>22</v>
      </c>
      <c r="B83" s="95" t="s">
        <v>233</v>
      </c>
      <c r="C83" s="246">
        <v>5</v>
      </c>
      <c r="D83" s="246">
        <v>65</v>
      </c>
      <c r="E83" s="247">
        <v>144</v>
      </c>
      <c r="F83" s="214" t="s">
        <v>33</v>
      </c>
      <c r="G83" s="210">
        <v>29</v>
      </c>
      <c r="H83" s="210">
        <v>56</v>
      </c>
      <c r="I83" s="211">
        <v>142.5</v>
      </c>
      <c r="J83" s="213" t="s">
        <v>7</v>
      </c>
      <c r="K83" s="48">
        <v>142.5</v>
      </c>
      <c r="L83" s="48"/>
      <c r="M83" s="48"/>
      <c r="N83" s="49"/>
      <c r="O83" s="49"/>
      <c r="P83" s="49"/>
      <c r="Q83" s="50">
        <f t="shared" si="0"/>
        <v>142.5</v>
      </c>
      <c r="R83" s="55" t="str">
        <f t="shared" si="1"/>
        <v>LUC</v>
      </c>
      <c r="S83" s="183"/>
      <c r="T83" s="40">
        <v>80000</v>
      </c>
      <c r="U83" s="40">
        <f t="shared" si="22"/>
        <v>11400000</v>
      </c>
      <c r="V83" s="158" t="s">
        <v>64</v>
      </c>
      <c r="W83" s="241" t="s">
        <v>24</v>
      </c>
      <c r="X83" s="242">
        <f t="shared" ref="X83:X85" si="29">Q83</f>
        <v>142.5</v>
      </c>
      <c r="Y83" s="267">
        <v>9000</v>
      </c>
      <c r="Z83" s="464">
        <v>1</v>
      </c>
      <c r="AA83" s="467">
        <v>1</v>
      </c>
      <c r="AB83" s="40">
        <f t="shared" si="23"/>
        <v>1282500</v>
      </c>
      <c r="AC83" s="40">
        <f t="shared" si="24"/>
        <v>57000000</v>
      </c>
      <c r="AD83" s="40">
        <f t="shared" si="25"/>
        <v>2137500</v>
      </c>
      <c r="AE83" s="40">
        <f t="shared" si="26"/>
        <v>0</v>
      </c>
      <c r="AF83" s="56">
        <f t="shared" si="27"/>
        <v>71820000</v>
      </c>
      <c r="AG83" s="504">
        <f>SUM(AF83:AF85)</f>
        <v>573804000</v>
      </c>
      <c r="AH83" s="6"/>
    </row>
    <row r="84" spans="1:34" ht="30" customHeight="1" x14ac:dyDescent="0.25">
      <c r="A84" s="94">
        <v>22</v>
      </c>
      <c r="B84" s="95" t="s">
        <v>233</v>
      </c>
      <c r="C84" s="246">
        <v>5</v>
      </c>
      <c r="D84" s="246">
        <v>103</v>
      </c>
      <c r="E84" s="247">
        <v>840</v>
      </c>
      <c r="F84" s="214" t="s">
        <v>33</v>
      </c>
      <c r="G84" s="210">
        <v>28</v>
      </c>
      <c r="H84" s="210">
        <v>538</v>
      </c>
      <c r="I84" s="211">
        <v>863.1</v>
      </c>
      <c r="J84" s="213" t="s">
        <v>7</v>
      </c>
      <c r="K84" s="48">
        <v>840</v>
      </c>
      <c r="L84" s="48">
        <f>I84-K84</f>
        <v>23.100000000000023</v>
      </c>
      <c r="M84" s="48"/>
      <c r="N84" s="49"/>
      <c r="O84" s="49"/>
      <c r="P84" s="49"/>
      <c r="Q84" s="50">
        <f t="shared" si="0"/>
        <v>863.1</v>
      </c>
      <c r="R84" s="55" t="str">
        <f t="shared" si="1"/>
        <v>LUC</v>
      </c>
      <c r="S84" s="183"/>
      <c r="T84" s="40">
        <v>80000</v>
      </c>
      <c r="U84" s="40">
        <f t="shared" si="22"/>
        <v>69048000</v>
      </c>
      <c r="V84" s="158" t="s">
        <v>64</v>
      </c>
      <c r="W84" s="241" t="s">
        <v>24</v>
      </c>
      <c r="X84" s="242">
        <f t="shared" si="29"/>
        <v>863.1</v>
      </c>
      <c r="Y84" s="267">
        <v>9000</v>
      </c>
      <c r="Z84" s="464">
        <v>1</v>
      </c>
      <c r="AA84" s="467">
        <v>1</v>
      </c>
      <c r="AB84" s="40">
        <f t="shared" si="23"/>
        <v>7767900</v>
      </c>
      <c r="AC84" s="40">
        <f t="shared" si="24"/>
        <v>345240000</v>
      </c>
      <c r="AD84" s="40">
        <f t="shared" si="25"/>
        <v>12946500</v>
      </c>
      <c r="AE84" s="40">
        <f t="shared" si="26"/>
        <v>0</v>
      </c>
      <c r="AF84" s="56">
        <f t="shared" si="27"/>
        <v>435002400</v>
      </c>
      <c r="AG84" s="504"/>
      <c r="AH84" s="6"/>
    </row>
    <row r="85" spans="1:34" ht="30" customHeight="1" x14ac:dyDescent="0.25">
      <c r="A85" s="94">
        <v>22</v>
      </c>
      <c r="B85" s="95" t="s">
        <v>233</v>
      </c>
      <c r="C85" s="246">
        <v>5</v>
      </c>
      <c r="D85" s="246">
        <v>131</v>
      </c>
      <c r="E85" s="247">
        <v>120</v>
      </c>
      <c r="F85" s="214" t="s">
        <v>44</v>
      </c>
      <c r="G85" s="210">
        <v>28</v>
      </c>
      <c r="H85" s="210">
        <v>463</v>
      </c>
      <c r="I85" s="211">
        <v>132.9</v>
      </c>
      <c r="J85" s="212" t="s">
        <v>48</v>
      </c>
      <c r="K85" s="48">
        <v>120</v>
      </c>
      <c r="L85" s="48">
        <v>12.9</v>
      </c>
      <c r="M85" s="48"/>
      <c r="N85" s="49"/>
      <c r="O85" s="49"/>
      <c r="P85" s="49"/>
      <c r="Q85" s="50">
        <f t="shared" si="0"/>
        <v>132.9</v>
      </c>
      <c r="R85" s="55" t="str">
        <f t="shared" si="1"/>
        <v>LUK</v>
      </c>
      <c r="S85" s="183"/>
      <c r="T85" s="40">
        <v>80000</v>
      </c>
      <c r="U85" s="40">
        <f t="shared" si="22"/>
        <v>10632000</v>
      </c>
      <c r="V85" s="158" t="s">
        <v>64</v>
      </c>
      <c r="W85" s="241" t="s">
        <v>24</v>
      </c>
      <c r="X85" s="242">
        <f t="shared" si="29"/>
        <v>132.9</v>
      </c>
      <c r="Y85" s="267">
        <v>9000</v>
      </c>
      <c r="Z85" s="464">
        <v>1</v>
      </c>
      <c r="AA85" s="467">
        <v>1</v>
      </c>
      <c r="AB85" s="40">
        <f t="shared" si="23"/>
        <v>1196100</v>
      </c>
      <c r="AC85" s="40">
        <f t="shared" si="24"/>
        <v>53160000</v>
      </c>
      <c r="AD85" s="40">
        <f t="shared" si="25"/>
        <v>1993500</v>
      </c>
      <c r="AE85" s="40">
        <f t="shared" si="26"/>
        <v>0</v>
      </c>
      <c r="AF85" s="56">
        <f t="shared" si="27"/>
        <v>66981600</v>
      </c>
      <c r="AG85" s="504"/>
      <c r="AH85" s="69"/>
    </row>
    <row r="86" spans="1:34" ht="69" customHeight="1" x14ac:dyDescent="0.25">
      <c r="A86" s="94">
        <v>23</v>
      </c>
      <c r="B86" s="95" t="s">
        <v>235</v>
      </c>
      <c r="C86" s="246"/>
      <c r="D86" s="246"/>
      <c r="E86" s="216"/>
      <c r="F86" s="214" t="s">
        <v>44</v>
      </c>
      <c r="G86" s="210">
        <v>28</v>
      </c>
      <c r="H86" s="210">
        <v>613</v>
      </c>
      <c r="I86" s="211">
        <v>131.9</v>
      </c>
      <c r="J86" s="212" t="s">
        <v>7</v>
      </c>
      <c r="K86" s="48"/>
      <c r="L86" s="48">
        <v>131.9</v>
      </c>
      <c r="M86" s="48"/>
      <c r="N86" s="49"/>
      <c r="O86" s="49"/>
      <c r="P86" s="49"/>
      <c r="Q86" s="50">
        <f t="shared" si="0"/>
        <v>131.9</v>
      </c>
      <c r="R86" s="55" t="str">
        <f t="shared" si="1"/>
        <v>LUC</v>
      </c>
      <c r="S86" s="183" t="s">
        <v>234</v>
      </c>
      <c r="T86" s="40">
        <v>80000</v>
      </c>
      <c r="U86" s="40">
        <f t="shared" si="22"/>
        <v>10552000</v>
      </c>
      <c r="V86" s="158" t="s">
        <v>316</v>
      </c>
      <c r="W86" s="241" t="s">
        <v>61</v>
      </c>
      <c r="X86" s="242">
        <v>40</v>
      </c>
      <c r="Y86" s="267"/>
      <c r="Z86" s="464">
        <v>1</v>
      </c>
      <c r="AA86" s="467"/>
      <c r="AB86" s="40">
        <f t="shared" si="23"/>
        <v>0</v>
      </c>
      <c r="AC86" s="40">
        <f t="shared" si="24"/>
        <v>52760000</v>
      </c>
      <c r="AD86" s="40">
        <f t="shared" si="25"/>
        <v>1978500</v>
      </c>
      <c r="AE86" s="40">
        <f t="shared" si="26"/>
        <v>0</v>
      </c>
      <c r="AF86" s="56">
        <f t="shared" si="27"/>
        <v>65290500</v>
      </c>
      <c r="AG86" s="504">
        <f>SUM(AF86:AF88)</f>
        <v>262395200</v>
      </c>
      <c r="AH86" s="69" t="s">
        <v>318</v>
      </c>
    </row>
    <row r="87" spans="1:34" ht="78" customHeight="1" x14ac:dyDescent="0.25">
      <c r="A87" s="94">
        <v>23</v>
      </c>
      <c r="B87" s="95" t="s">
        <v>235</v>
      </c>
      <c r="C87" s="246">
        <v>5</v>
      </c>
      <c r="D87" s="246">
        <v>132</v>
      </c>
      <c r="E87" s="247">
        <v>360</v>
      </c>
      <c r="F87" s="214" t="s">
        <v>44</v>
      </c>
      <c r="G87" s="210">
        <v>28</v>
      </c>
      <c r="H87" s="210">
        <v>605</v>
      </c>
      <c r="I87" s="211">
        <v>374.9</v>
      </c>
      <c r="J87" s="212" t="s">
        <v>48</v>
      </c>
      <c r="K87" s="48">
        <v>360</v>
      </c>
      <c r="L87" s="48">
        <f>I87-360</f>
        <v>14.899999999999977</v>
      </c>
      <c r="M87" s="48"/>
      <c r="N87" s="49"/>
      <c r="O87" s="49"/>
      <c r="P87" s="49"/>
      <c r="Q87" s="50">
        <f t="shared" ref="Q87" si="30">K87+L87+M87+N87+O87+P87</f>
        <v>374.9</v>
      </c>
      <c r="R87" s="55" t="str">
        <f t="shared" si="1"/>
        <v>LUK</v>
      </c>
      <c r="S87" s="183"/>
      <c r="T87" s="40">
        <v>80000</v>
      </c>
      <c r="U87" s="40">
        <f t="shared" si="22"/>
        <v>29992000</v>
      </c>
      <c r="V87" s="158" t="s">
        <v>310</v>
      </c>
      <c r="W87" s="241" t="s">
        <v>24</v>
      </c>
      <c r="X87" s="242">
        <v>281.2</v>
      </c>
      <c r="Y87" s="267">
        <v>41000</v>
      </c>
      <c r="Z87" s="464">
        <v>1</v>
      </c>
      <c r="AA87" s="467">
        <v>1</v>
      </c>
      <c r="AB87" s="40">
        <f t="shared" si="23"/>
        <v>11529200</v>
      </c>
      <c r="AC87" s="40">
        <f t="shared" si="24"/>
        <v>149960000</v>
      </c>
      <c r="AD87" s="40">
        <f t="shared" si="25"/>
        <v>5623500</v>
      </c>
      <c r="AE87" s="40">
        <f t="shared" si="26"/>
        <v>0</v>
      </c>
      <c r="AF87" s="56">
        <f t="shared" si="27"/>
        <v>197104700</v>
      </c>
      <c r="AG87" s="504"/>
      <c r="AH87" s="510" t="s">
        <v>450</v>
      </c>
    </row>
    <row r="88" spans="1:34" ht="78" customHeight="1" x14ac:dyDescent="0.25">
      <c r="A88" s="94">
        <v>23</v>
      </c>
      <c r="B88" s="95" t="s">
        <v>235</v>
      </c>
      <c r="C88" s="246"/>
      <c r="D88" s="246"/>
      <c r="E88" s="247"/>
      <c r="F88" s="214" t="s">
        <v>44</v>
      </c>
      <c r="G88" s="210">
        <v>28</v>
      </c>
      <c r="H88" s="210">
        <v>605</v>
      </c>
      <c r="I88" s="211"/>
      <c r="J88" s="212"/>
      <c r="K88" s="48"/>
      <c r="L88" s="48"/>
      <c r="M88" s="48"/>
      <c r="N88" s="49"/>
      <c r="O88" s="49"/>
      <c r="P88" s="49"/>
      <c r="Q88" s="50"/>
      <c r="R88" s="55"/>
      <c r="S88" s="183"/>
      <c r="T88" s="40"/>
      <c r="U88" s="40">
        <f t="shared" si="22"/>
        <v>0</v>
      </c>
      <c r="V88" s="158" t="s">
        <v>315</v>
      </c>
      <c r="W88" s="241" t="s">
        <v>61</v>
      </c>
      <c r="X88" s="242">
        <v>175</v>
      </c>
      <c r="Y88" s="267"/>
      <c r="Z88" s="464"/>
      <c r="AA88" s="467"/>
      <c r="AB88" s="40">
        <f t="shared" si="23"/>
        <v>0</v>
      </c>
      <c r="AC88" s="40">
        <f t="shared" si="24"/>
        <v>0</v>
      </c>
      <c r="AD88" s="40">
        <f t="shared" si="25"/>
        <v>0</v>
      </c>
      <c r="AE88" s="40">
        <f t="shared" si="26"/>
        <v>0</v>
      </c>
      <c r="AF88" s="56">
        <f t="shared" si="27"/>
        <v>0</v>
      </c>
      <c r="AG88" s="504"/>
      <c r="AH88" s="510"/>
    </row>
    <row r="89" spans="1:34" ht="30" customHeight="1" x14ac:dyDescent="0.25">
      <c r="A89" s="94">
        <v>24</v>
      </c>
      <c r="B89" s="95" t="s">
        <v>236</v>
      </c>
      <c r="C89" s="246">
        <v>5</v>
      </c>
      <c r="D89" s="246">
        <v>83</v>
      </c>
      <c r="E89" s="216">
        <v>144</v>
      </c>
      <c r="F89" s="248" t="s">
        <v>79</v>
      </c>
      <c r="G89" s="210">
        <v>28</v>
      </c>
      <c r="H89" s="210">
        <v>786</v>
      </c>
      <c r="I89" s="211">
        <v>159.4</v>
      </c>
      <c r="J89" s="212" t="s">
        <v>43</v>
      </c>
      <c r="K89" s="48">
        <v>144</v>
      </c>
      <c r="L89" s="48">
        <f>I89-K89</f>
        <v>15.400000000000006</v>
      </c>
      <c r="M89" s="48"/>
      <c r="N89" s="49"/>
      <c r="O89" s="49"/>
      <c r="P89" s="49"/>
      <c r="Q89" s="50">
        <f t="shared" ref="Q89:Q115" si="31">K89+L89+M89+N89+O89+P89</f>
        <v>159.4</v>
      </c>
      <c r="R89" s="55" t="s">
        <v>86</v>
      </c>
      <c r="S89" s="183"/>
      <c r="T89" s="40">
        <v>80000</v>
      </c>
      <c r="U89" s="40">
        <f>(K89+L89+N89+O89)*T89</f>
        <v>12752000</v>
      </c>
      <c r="V89" s="158" t="s">
        <v>64</v>
      </c>
      <c r="W89" s="241" t="s">
        <v>24</v>
      </c>
      <c r="X89" s="242">
        <f t="shared" ref="X89:X91" si="32">Q89</f>
        <v>159.4</v>
      </c>
      <c r="Y89" s="267">
        <v>9000</v>
      </c>
      <c r="Z89" s="464">
        <v>1</v>
      </c>
      <c r="AA89" s="467">
        <v>1</v>
      </c>
      <c r="AB89" s="40">
        <f t="shared" si="23"/>
        <v>1434600</v>
      </c>
      <c r="AC89" s="40">
        <f t="shared" si="24"/>
        <v>63760000</v>
      </c>
      <c r="AD89" s="40">
        <f t="shared" si="25"/>
        <v>2391000</v>
      </c>
      <c r="AE89" s="40">
        <f t="shared" si="26"/>
        <v>0</v>
      </c>
      <c r="AF89" s="56">
        <f t="shared" si="27"/>
        <v>80337600</v>
      </c>
      <c r="AG89" s="504">
        <f>SUM(AF89:AF91)</f>
        <v>384904800</v>
      </c>
      <c r="AH89" s="6"/>
    </row>
    <row r="90" spans="1:34" ht="30" customHeight="1" x14ac:dyDescent="0.25">
      <c r="A90" s="94">
        <v>24</v>
      </c>
      <c r="B90" s="95" t="s">
        <v>236</v>
      </c>
      <c r="C90" s="246">
        <v>5</v>
      </c>
      <c r="D90" s="246">
        <v>136</v>
      </c>
      <c r="E90" s="216">
        <v>168</v>
      </c>
      <c r="F90" s="248" t="s">
        <v>79</v>
      </c>
      <c r="G90" s="210">
        <v>28</v>
      </c>
      <c r="H90" s="210">
        <v>776</v>
      </c>
      <c r="I90" s="211">
        <v>184</v>
      </c>
      <c r="J90" s="212" t="s">
        <v>7</v>
      </c>
      <c r="K90" s="48">
        <v>168</v>
      </c>
      <c r="L90" s="48">
        <f t="shared" ref="L90" si="33">I90-K90</f>
        <v>16</v>
      </c>
      <c r="M90" s="48"/>
      <c r="N90" s="49"/>
      <c r="O90" s="49"/>
      <c r="P90" s="49"/>
      <c r="Q90" s="50">
        <f t="shared" si="31"/>
        <v>184</v>
      </c>
      <c r="R90" s="55" t="str">
        <f t="shared" ref="R90:R115" si="34">J90</f>
        <v>LUC</v>
      </c>
      <c r="S90" s="183"/>
      <c r="T90" s="40">
        <v>80000</v>
      </c>
      <c r="U90" s="40">
        <f t="shared" ref="U90:U115" si="35">(K90+L90+N90+O90)*T90</f>
        <v>14720000</v>
      </c>
      <c r="V90" s="158" t="s">
        <v>64</v>
      </c>
      <c r="W90" s="241" t="s">
        <v>24</v>
      </c>
      <c r="X90" s="242">
        <f t="shared" si="32"/>
        <v>184</v>
      </c>
      <c r="Y90" s="267">
        <v>9000</v>
      </c>
      <c r="Z90" s="464">
        <v>1</v>
      </c>
      <c r="AA90" s="467">
        <v>1</v>
      </c>
      <c r="AB90" s="40">
        <f t="shared" si="23"/>
        <v>1656000</v>
      </c>
      <c r="AC90" s="40">
        <f t="shared" si="24"/>
        <v>73600000</v>
      </c>
      <c r="AD90" s="40">
        <f t="shared" si="25"/>
        <v>2760000</v>
      </c>
      <c r="AE90" s="40">
        <f t="shared" si="26"/>
        <v>0</v>
      </c>
      <c r="AF90" s="56">
        <f t="shared" si="27"/>
        <v>92736000</v>
      </c>
      <c r="AG90" s="504"/>
      <c r="AH90" s="110"/>
    </row>
    <row r="91" spans="1:34" ht="67.5" x14ac:dyDescent="0.25">
      <c r="A91" s="94">
        <v>24</v>
      </c>
      <c r="B91" s="95" t="s">
        <v>236</v>
      </c>
      <c r="C91" s="246">
        <v>5</v>
      </c>
      <c r="D91" s="246">
        <v>48</v>
      </c>
      <c r="E91" s="216">
        <v>360</v>
      </c>
      <c r="F91" s="248" t="s">
        <v>237</v>
      </c>
      <c r="G91" s="210">
        <v>28</v>
      </c>
      <c r="H91" s="210">
        <v>721</v>
      </c>
      <c r="I91" s="211">
        <v>421.3</v>
      </c>
      <c r="J91" s="212" t="s">
        <v>7</v>
      </c>
      <c r="K91" s="48">
        <v>359</v>
      </c>
      <c r="L91" s="48">
        <f>I91-K91-S91</f>
        <v>61.300000000000011</v>
      </c>
      <c r="M91" s="48"/>
      <c r="N91" s="49"/>
      <c r="O91" s="49"/>
      <c r="P91" s="49"/>
      <c r="Q91" s="50">
        <f>K91+L91+M91+N91+O91+P91</f>
        <v>420.3</v>
      </c>
      <c r="R91" s="55" t="str">
        <f>J91</f>
        <v>LUC</v>
      </c>
      <c r="S91" s="183">
        <v>1</v>
      </c>
      <c r="T91" s="40">
        <v>80000</v>
      </c>
      <c r="U91" s="40">
        <f t="shared" si="35"/>
        <v>33624000</v>
      </c>
      <c r="V91" s="158" t="s">
        <v>64</v>
      </c>
      <c r="W91" s="241" t="s">
        <v>24</v>
      </c>
      <c r="X91" s="242">
        <f t="shared" si="32"/>
        <v>420.3</v>
      </c>
      <c r="Y91" s="267">
        <v>9000</v>
      </c>
      <c r="Z91" s="464">
        <v>1</v>
      </c>
      <c r="AA91" s="467">
        <v>1</v>
      </c>
      <c r="AB91" s="40">
        <f t="shared" si="23"/>
        <v>3782700</v>
      </c>
      <c r="AC91" s="40">
        <f t="shared" si="24"/>
        <v>168120000</v>
      </c>
      <c r="AD91" s="40">
        <f t="shared" si="25"/>
        <v>6304500</v>
      </c>
      <c r="AE91" s="40">
        <f t="shared" si="26"/>
        <v>0</v>
      </c>
      <c r="AF91" s="56">
        <f t="shared" si="27"/>
        <v>211831200</v>
      </c>
      <c r="AG91" s="504"/>
      <c r="AH91" s="44" t="s">
        <v>159</v>
      </c>
    </row>
    <row r="92" spans="1:34" ht="45" x14ac:dyDescent="0.25">
      <c r="A92" s="94">
        <v>25</v>
      </c>
      <c r="B92" s="95" t="s">
        <v>238</v>
      </c>
      <c r="C92" s="246">
        <v>5</v>
      </c>
      <c r="D92" s="246">
        <v>75</v>
      </c>
      <c r="E92" s="247">
        <v>144</v>
      </c>
      <c r="F92" s="249" t="s">
        <v>33</v>
      </c>
      <c r="G92" s="210">
        <v>29</v>
      </c>
      <c r="H92" s="210">
        <v>62</v>
      </c>
      <c r="I92" s="211">
        <v>143.6</v>
      </c>
      <c r="J92" s="212" t="s">
        <v>7</v>
      </c>
      <c r="K92" s="48">
        <v>5.6</v>
      </c>
      <c r="L92" s="48"/>
      <c r="M92" s="48"/>
      <c r="N92" s="49"/>
      <c r="O92" s="49"/>
      <c r="P92" s="49"/>
      <c r="Q92" s="50">
        <f t="shared" si="31"/>
        <v>5.6</v>
      </c>
      <c r="R92" s="55" t="str">
        <f t="shared" si="34"/>
        <v>LUC</v>
      </c>
      <c r="S92" s="183"/>
      <c r="T92" s="40">
        <v>80000</v>
      </c>
      <c r="U92" s="40">
        <f t="shared" si="35"/>
        <v>448000</v>
      </c>
      <c r="V92" s="99" t="s">
        <v>323</v>
      </c>
      <c r="W92" s="241" t="s">
        <v>61</v>
      </c>
      <c r="X92" s="242">
        <v>2</v>
      </c>
      <c r="Y92" s="267">
        <v>118000</v>
      </c>
      <c r="Z92" s="464">
        <v>1</v>
      </c>
      <c r="AA92" s="467">
        <v>0.8</v>
      </c>
      <c r="AB92" s="40">
        <f t="shared" si="23"/>
        <v>188800</v>
      </c>
      <c r="AC92" s="40">
        <f t="shared" si="24"/>
        <v>2240000</v>
      </c>
      <c r="AD92" s="40">
        <f t="shared" si="25"/>
        <v>84000</v>
      </c>
      <c r="AE92" s="40">
        <f t="shared" si="26"/>
        <v>0</v>
      </c>
      <c r="AF92" s="56">
        <f t="shared" si="27"/>
        <v>2960800</v>
      </c>
      <c r="AG92" s="504">
        <f>SUM(AF92:AF95)</f>
        <v>389377600</v>
      </c>
      <c r="AH92" s="69" t="s">
        <v>240</v>
      </c>
    </row>
    <row r="93" spans="1:34" ht="30" customHeight="1" x14ac:dyDescent="0.25">
      <c r="A93" s="94">
        <v>25</v>
      </c>
      <c r="B93" s="95" t="s">
        <v>238</v>
      </c>
      <c r="C93" s="246">
        <v>5</v>
      </c>
      <c r="D93" s="246">
        <v>98</v>
      </c>
      <c r="E93" s="247">
        <v>360</v>
      </c>
      <c r="F93" s="248" t="s">
        <v>237</v>
      </c>
      <c r="G93" s="210">
        <v>28</v>
      </c>
      <c r="H93" s="210">
        <v>674</v>
      </c>
      <c r="I93" s="211">
        <v>441.3</v>
      </c>
      <c r="J93" s="212" t="s">
        <v>7</v>
      </c>
      <c r="K93" s="48">
        <v>360</v>
      </c>
      <c r="L93" s="48">
        <f>I93-K93</f>
        <v>81.300000000000011</v>
      </c>
      <c r="M93" s="48"/>
      <c r="N93" s="49"/>
      <c r="O93" s="49"/>
      <c r="P93" s="49"/>
      <c r="Q93" s="50">
        <f t="shared" si="31"/>
        <v>441.3</v>
      </c>
      <c r="R93" s="55" t="str">
        <f t="shared" si="34"/>
        <v>LUC</v>
      </c>
      <c r="S93" s="183"/>
      <c r="T93" s="40">
        <v>80000</v>
      </c>
      <c r="U93" s="40">
        <f t="shared" si="35"/>
        <v>35304000</v>
      </c>
      <c r="V93" s="158" t="s">
        <v>64</v>
      </c>
      <c r="W93" s="241" t="s">
        <v>24</v>
      </c>
      <c r="X93" s="242">
        <f t="shared" ref="X93:X99" si="36">Q93</f>
        <v>441.3</v>
      </c>
      <c r="Y93" s="267">
        <v>9000</v>
      </c>
      <c r="Z93" s="464">
        <v>1</v>
      </c>
      <c r="AA93" s="467">
        <v>1</v>
      </c>
      <c r="AB93" s="40">
        <f t="shared" si="23"/>
        <v>3971700</v>
      </c>
      <c r="AC93" s="40">
        <f t="shared" si="24"/>
        <v>176520000</v>
      </c>
      <c r="AD93" s="40">
        <f t="shared" si="25"/>
        <v>6619500</v>
      </c>
      <c r="AE93" s="40">
        <f t="shared" si="26"/>
        <v>0</v>
      </c>
      <c r="AF93" s="56">
        <f t="shared" si="27"/>
        <v>222415200</v>
      </c>
      <c r="AG93" s="504"/>
      <c r="AH93" s="6"/>
    </row>
    <row r="94" spans="1:34" ht="45" x14ac:dyDescent="0.25">
      <c r="A94" s="94">
        <v>25</v>
      </c>
      <c r="B94" s="95" t="s">
        <v>238</v>
      </c>
      <c r="C94" s="246">
        <v>5</v>
      </c>
      <c r="D94" s="246" t="s">
        <v>239</v>
      </c>
      <c r="E94" s="247">
        <v>216</v>
      </c>
      <c r="F94" s="249" t="s">
        <v>51</v>
      </c>
      <c r="G94" s="210">
        <v>29</v>
      </c>
      <c r="H94" s="210">
        <v>11</v>
      </c>
      <c r="I94" s="211">
        <v>248.2</v>
      </c>
      <c r="J94" s="212" t="s">
        <v>48</v>
      </c>
      <c r="K94" s="48">
        <v>141.1</v>
      </c>
      <c r="L94" s="48"/>
      <c r="M94" s="48"/>
      <c r="N94" s="49"/>
      <c r="O94" s="49"/>
      <c r="P94" s="49"/>
      <c r="Q94" s="50">
        <f t="shared" si="31"/>
        <v>141.1</v>
      </c>
      <c r="R94" s="55" t="str">
        <f t="shared" si="34"/>
        <v>LUK</v>
      </c>
      <c r="S94" s="183"/>
      <c r="T94" s="40">
        <v>80000</v>
      </c>
      <c r="U94" s="40">
        <f t="shared" si="35"/>
        <v>11288000</v>
      </c>
      <c r="V94" s="158" t="s">
        <v>64</v>
      </c>
      <c r="W94" s="241" t="s">
        <v>24</v>
      </c>
      <c r="X94" s="242">
        <f t="shared" si="36"/>
        <v>141.1</v>
      </c>
      <c r="Y94" s="267">
        <v>9000</v>
      </c>
      <c r="Z94" s="464">
        <v>1</v>
      </c>
      <c r="AA94" s="467">
        <v>1</v>
      </c>
      <c r="AB94" s="40">
        <f t="shared" si="23"/>
        <v>1269900</v>
      </c>
      <c r="AC94" s="40">
        <f t="shared" si="24"/>
        <v>56440000</v>
      </c>
      <c r="AD94" s="40">
        <f t="shared" si="25"/>
        <v>2116500</v>
      </c>
      <c r="AE94" s="40">
        <f t="shared" si="26"/>
        <v>0</v>
      </c>
      <c r="AF94" s="56">
        <f t="shared" si="27"/>
        <v>71114400</v>
      </c>
      <c r="AG94" s="504"/>
      <c r="AH94" s="69" t="s">
        <v>241</v>
      </c>
    </row>
    <row r="95" spans="1:34" ht="30" customHeight="1" x14ac:dyDescent="0.25">
      <c r="A95" s="94">
        <v>25</v>
      </c>
      <c r="B95" s="95" t="s">
        <v>238</v>
      </c>
      <c r="C95" s="246">
        <v>5</v>
      </c>
      <c r="D95" s="246">
        <v>75</v>
      </c>
      <c r="E95" s="247">
        <v>144</v>
      </c>
      <c r="F95" s="249" t="s">
        <v>51</v>
      </c>
      <c r="G95" s="210">
        <v>29</v>
      </c>
      <c r="H95" s="210">
        <v>10</v>
      </c>
      <c r="I95" s="211">
        <v>184.3</v>
      </c>
      <c r="J95" s="212" t="s">
        <v>48</v>
      </c>
      <c r="K95" s="48">
        <v>144</v>
      </c>
      <c r="L95" s="48">
        <f>I95-K95</f>
        <v>40.300000000000011</v>
      </c>
      <c r="M95" s="48"/>
      <c r="N95" s="49"/>
      <c r="O95" s="49"/>
      <c r="P95" s="49"/>
      <c r="Q95" s="50">
        <f t="shared" si="31"/>
        <v>184.3</v>
      </c>
      <c r="R95" s="55" t="str">
        <f t="shared" si="34"/>
        <v>LUK</v>
      </c>
      <c r="S95" s="183"/>
      <c r="T95" s="40">
        <v>80000</v>
      </c>
      <c r="U95" s="40">
        <f t="shared" si="35"/>
        <v>14744000</v>
      </c>
      <c r="V95" s="158" t="s">
        <v>64</v>
      </c>
      <c r="W95" s="241" t="s">
        <v>24</v>
      </c>
      <c r="X95" s="242">
        <f t="shared" si="36"/>
        <v>184.3</v>
      </c>
      <c r="Y95" s="267">
        <v>9000</v>
      </c>
      <c r="Z95" s="464">
        <v>1</v>
      </c>
      <c r="AA95" s="467">
        <v>1</v>
      </c>
      <c r="AB95" s="40">
        <f t="shared" si="23"/>
        <v>1658700</v>
      </c>
      <c r="AC95" s="40">
        <f t="shared" si="24"/>
        <v>73720000</v>
      </c>
      <c r="AD95" s="40">
        <f t="shared" si="25"/>
        <v>2764500</v>
      </c>
      <c r="AE95" s="40">
        <f t="shared" si="26"/>
        <v>0</v>
      </c>
      <c r="AF95" s="56">
        <f t="shared" si="27"/>
        <v>92887200</v>
      </c>
      <c r="AG95" s="504"/>
      <c r="AH95" s="6"/>
    </row>
    <row r="96" spans="1:34" ht="30" customHeight="1" x14ac:dyDescent="0.25">
      <c r="A96" s="94">
        <v>26</v>
      </c>
      <c r="B96" s="95" t="s">
        <v>242</v>
      </c>
      <c r="C96" s="246">
        <v>5</v>
      </c>
      <c r="D96" s="246">
        <v>39</v>
      </c>
      <c r="E96" s="216">
        <v>456</v>
      </c>
      <c r="F96" s="214" t="s">
        <v>33</v>
      </c>
      <c r="G96" s="210">
        <v>29</v>
      </c>
      <c r="H96" s="210">
        <v>12</v>
      </c>
      <c r="I96" s="211">
        <v>516.29999999999995</v>
      </c>
      <c r="J96" s="212" t="s">
        <v>7</v>
      </c>
      <c r="K96" s="48">
        <v>456</v>
      </c>
      <c r="L96" s="48">
        <f t="shared" ref="L96:L100" si="37">I96-K96</f>
        <v>60.299999999999955</v>
      </c>
      <c r="M96" s="48"/>
      <c r="N96" s="49"/>
      <c r="O96" s="49"/>
      <c r="P96" s="49"/>
      <c r="Q96" s="50">
        <f t="shared" si="31"/>
        <v>516.29999999999995</v>
      </c>
      <c r="R96" s="55" t="str">
        <f t="shared" si="34"/>
        <v>LUC</v>
      </c>
      <c r="S96" s="183"/>
      <c r="T96" s="40">
        <v>80000</v>
      </c>
      <c r="U96" s="40">
        <f t="shared" si="35"/>
        <v>41304000</v>
      </c>
      <c r="V96" s="158" t="s">
        <v>64</v>
      </c>
      <c r="W96" s="241" t="s">
        <v>24</v>
      </c>
      <c r="X96" s="242">
        <f t="shared" si="36"/>
        <v>516.29999999999995</v>
      </c>
      <c r="Y96" s="267">
        <v>9000</v>
      </c>
      <c r="Z96" s="464">
        <v>1</v>
      </c>
      <c r="AA96" s="467">
        <v>1</v>
      </c>
      <c r="AB96" s="40">
        <f t="shared" si="23"/>
        <v>4646700</v>
      </c>
      <c r="AC96" s="40">
        <f t="shared" si="24"/>
        <v>206520000</v>
      </c>
      <c r="AD96" s="40">
        <f t="shared" si="25"/>
        <v>7744499.9999999991</v>
      </c>
      <c r="AE96" s="40">
        <f t="shared" si="26"/>
        <v>0</v>
      </c>
      <c r="AF96" s="56">
        <f t="shared" si="27"/>
        <v>260215200</v>
      </c>
      <c r="AG96" s="504">
        <f>SUM(AF96:AF98)</f>
        <v>597290400</v>
      </c>
      <c r="AH96" s="6"/>
    </row>
    <row r="97" spans="1:34" ht="30" customHeight="1" x14ac:dyDescent="0.25">
      <c r="A97" s="94">
        <v>26</v>
      </c>
      <c r="B97" s="95" t="s">
        <v>242</v>
      </c>
      <c r="C97" s="246">
        <v>5</v>
      </c>
      <c r="D97" s="246">
        <v>40</v>
      </c>
      <c r="E97" s="216">
        <v>360</v>
      </c>
      <c r="F97" s="214" t="s">
        <v>33</v>
      </c>
      <c r="G97" s="210">
        <v>29</v>
      </c>
      <c r="H97" s="210">
        <v>37</v>
      </c>
      <c r="I97" s="211">
        <v>370.1</v>
      </c>
      <c r="J97" s="212" t="s">
        <v>7</v>
      </c>
      <c r="K97" s="48">
        <v>360</v>
      </c>
      <c r="L97" s="48">
        <f t="shared" si="37"/>
        <v>10.100000000000023</v>
      </c>
      <c r="M97" s="48"/>
      <c r="N97" s="49"/>
      <c r="O97" s="49"/>
      <c r="P97" s="49"/>
      <c r="Q97" s="50">
        <f t="shared" si="31"/>
        <v>370.1</v>
      </c>
      <c r="R97" s="55" t="str">
        <f t="shared" si="34"/>
        <v>LUC</v>
      </c>
      <c r="S97" s="183"/>
      <c r="T97" s="40">
        <v>80000</v>
      </c>
      <c r="U97" s="40">
        <f t="shared" si="35"/>
        <v>29608000</v>
      </c>
      <c r="V97" s="158" t="s">
        <v>64</v>
      </c>
      <c r="W97" s="241" t="s">
        <v>24</v>
      </c>
      <c r="X97" s="242">
        <f t="shared" si="36"/>
        <v>370.1</v>
      </c>
      <c r="Y97" s="267">
        <v>9000</v>
      </c>
      <c r="Z97" s="464">
        <v>1</v>
      </c>
      <c r="AA97" s="467">
        <v>1</v>
      </c>
      <c r="AB97" s="40">
        <f t="shared" si="23"/>
        <v>3330900</v>
      </c>
      <c r="AC97" s="40">
        <f t="shared" si="24"/>
        <v>148040000</v>
      </c>
      <c r="AD97" s="40">
        <f t="shared" si="25"/>
        <v>5551500</v>
      </c>
      <c r="AE97" s="40">
        <f t="shared" si="26"/>
        <v>0</v>
      </c>
      <c r="AF97" s="56">
        <f t="shared" si="27"/>
        <v>186530400</v>
      </c>
      <c r="AG97" s="504"/>
      <c r="AH97" s="69"/>
    </row>
    <row r="98" spans="1:34" ht="30" customHeight="1" x14ac:dyDescent="0.25">
      <c r="A98" s="94">
        <v>26</v>
      </c>
      <c r="B98" s="95" t="s">
        <v>242</v>
      </c>
      <c r="C98" s="246">
        <v>5</v>
      </c>
      <c r="D98" s="246">
        <v>98</v>
      </c>
      <c r="E98" s="216">
        <v>312</v>
      </c>
      <c r="F98" s="215" t="s">
        <v>201</v>
      </c>
      <c r="G98" s="210">
        <v>28</v>
      </c>
      <c r="H98" s="210">
        <v>676</v>
      </c>
      <c r="I98" s="211">
        <v>298.7</v>
      </c>
      <c r="J98" s="212" t="s">
        <v>7</v>
      </c>
      <c r="K98" s="48">
        <v>298.7</v>
      </c>
      <c r="L98" s="48">
        <f t="shared" si="37"/>
        <v>0</v>
      </c>
      <c r="M98" s="48"/>
      <c r="N98" s="49"/>
      <c r="O98" s="49"/>
      <c r="P98" s="49"/>
      <c r="Q98" s="50">
        <f t="shared" si="31"/>
        <v>298.7</v>
      </c>
      <c r="R98" s="55" t="str">
        <f t="shared" si="34"/>
        <v>LUC</v>
      </c>
      <c r="S98" s="183"/>
      <c r="T98" s="40">
        <v>80000</v>
      </c>
      <c r="U98" s="40">
        <f t="shared" si="35"/>
        <v>23896000</v>
      </c>
      <c r="V98" s="158" t="s">
        <v>64</v>
      </c>
      <c r="W98" s="241" t="s">
        <v>24</v>
      </c>
      <c r="X98" s="242">
        <f t="shared" si="36"/>
        <v>298.7</v>
      </c>
      <c r="Y98" s="267">
        <v>9000</v>
      </c>
      <c r="Z98" s="464">
        <v>1</v>
      </c>
      <c r="AA98" s="467">
        <v>1</v>
      </c>
      <c r="AB98" s="40">
        <f t="shared" si="23"/>
        <v>2688300</v>
      </c>
      <c r="AC98" s="40">
        <f t="shared" si="24"/>
        <v>119480000</v>
      </c>
      <c r="AD98" s="40">
        <f t="shared" si="25"/>
        <v>4480500</v>
      </c>
      <c r="AE98" s="40">
        <f t="shared" si="26"/>
        <v>0</v>
      </c>
      <c r="AF98" s="56">
        <f t="shared" si="27"/>
        <v>150544800</v>
      </c>
      <c r="AG98" s="504"/>
      <c r="AH98" s="69"/>
    </row>
    <row r="99" spans="1:34" ht="30" customHeight="1" x14ac:dyDescent="0.25">
      <c r="A99" s="94">
        <v>27</v>
      </c>
      <c r="B99" s="95" t="s">
        <v>243</v>
      </c>
      <c r="C99" s="246">
        <v>5</v>
      </c>
      <c r="D99" s="246">
        <v>131</v>
      </c>
      <c r="E99" s="216">
        <v>96</v>
      </c>
      <c r="F99" s="214" t="s">
        <v>44</v>
      </c>
      <c r="G99" s="210">
        <v>28</v>
      </c>
      <c r="H99" s="210">
        <v>548</v>
      </c>
      <c r="I99" s="211">
        <v>357.7</v>
      </c>
      <c r="J99" s="212" t="s">
        <v>48</v>
      </c>
      <c r="K99" s="48">
        <v>96</v>
      </c>
      <c r="L99" s="48">
        <f t="shared" si="37"/>
        <v>261.7</v>
      </c>
      <c r="M99" s="48"/>
      <c r="N99" s="49"/>
      <c r="O99" s="49"/>
      <c r="P99" s="49"/>
      <c r="Q99" s="50">
        <f t="shared" si="31"/>
        <v>357.7</v>
      </c>
      <c r="R99" s="55" t="str">
        <f t="shared" si="34"/>
        <v>LUK</v>
      </c>
      <c r="S99" s="183"/>
      <c r="T99" s="40">
        <v>80000</v>
      </c>
      <c r="U99" s="40">
        <f t="shared" si="35"/>
        <v>28616000</v>
      </c>
      <c r="V99" s="158" t="s">
        <v>64</v>
      </c>
      <c r="W99" s="241" t="s">
        <v>24</v>
      </c>
      <c r="X99" s="242">
        <f t="shared" si="36"/>
        <v>357.7</v>
      </c>
      <c r="Y99" s="267">
        <v>9000</v>
      </c>
      <c r="Z99" s="464">
        <v>1</v>
      </c>
      <c r="AA99" s="467">
        <v>1</v>
      </c>
      <c r="AB99" s="40">
        <f t="shared" si="23"/>
        <v>3219300</v>
      </c>
      <c r="AC99" s="40">
        <f t="shared" si="24"/>
        <v>143080000</v>
      </c>
      <c r="AD99" s="40">
        <f t="shared" si="25"/>
        <v>5365500</v>
      </c>
      <c r="AE99" s="40">
        <f t="shared" si="26"/>
        <v>0</v>
      </c>
      <c r="AF99" s="56">
        <f t="shared" si="27"/>
        <v>180280800</v>
      </c>
      <c r="AG99" s="504">
        <f>SUM(AF99:AF101)</f>
        <v>318916800</v>
      </c>
      <c r="AH99" s="69" t="s">
        <v>296</v>
      </c>
    </row>
    <row r="100" spans="1:34" ht="49.5" customHeight="1" x14ac:dyDescent="0.25">
      <c r="A100" s="94">
        <v>27</v>
      </c>
      <c r="B100" s="95" t="s">
        <v>243</v>
      </c>
      <c r="C100" s="246">
        <v>5</v>
      </c>
      <c r="D100" s="246">
        <v>132</v>
      </c>
      <c r="E100" s="216">
        <v>240</v>
      </c>
      <c r="F100" s="214" t="s">
        <v>44</v>
      </c>
      <c r="G100" s="210">
        <v>28</v>
      </c>
      <c r="H100" s="210">
        <v>549</v>
      </c>
      <c r="I100" s="211">
        <v>271.2</v>
      </c>
      <c r="J100" s="212" t="s">
        <v>48</v>
      </c>
      <c r="K100" s="48">
        <v>240</v>
      </c>
      <c r="L100" s="48">
        <f t="shared" si="37"/>
        <v>31.199999999999989</v>
      </c>
      <c r="M100" s="48"/>
      <c r="N100" s="49"/>
      <c r="O100" s="49"/>
      <c r="P100" s="49"/>
      <c r="Q100" s="50">
        <f t="shared" si="31"/>
        <v>271.2</v>
      </c>
      <c r="R100" s="55" t="str">
        <f t="shared" si="34"/>
        <v>LUK</v>
      </c>
      <c r="S100" s="183"/>
      <c r="T100" s="40">
        <v>80000</v>
      </c>
      <c r="U100" s="40">
        <f t="shared" si="35"/>
        <v>21696000</v>
      </c>
      <c r="V100" s="240" t="s">
        <v>244</v>
      </c>
      <c r="W100" s="241" t="s">
        <v>61</v>
      </c>
      <c r="X100" s="242">
        <v>10</v>
      </c>
      <c r="Y100" s="267">
        <v>305000</v>
      </c>
      <c r="Z100" s="464">
        <v>1</v>
      </c>
      <c r="AA100" s="467">
        <v>0.8</v>
      </c>
      <c r="AB100" s="40">
        <f t="shared" si="23"/>
        <v>2440000</v>
      </c>
      <c r="AC100" s="40">
        <f t="shared" si="24"/>
        <v>108480000</v>
      </c>
      <c r="AD100" s="40">
        <f t="shared" si="25"/>
        <v>4068000</v>
      </c>
      <c r="AE100" s="40">
        <f t="shared" si="26"/>
        <v>0</v>
      </c>
      <c r="AF100" s="56">
        <f t="shared" si="27"/>
        <v>136684000</v>
      </c>
      <c r="AG100" s="504"/>
      <c r="AH100" s="69" t="s">
        <v>173</v>
      </c>
    </row>
    <row r="101" spans="1:34" ht="70.5" customHeight="1" x14ac:dyDescent="0.25">
      <c r="A101" s="94">
        <v>27</v>
      </c>
      <c r="B101" s="95" t="s">
        <v>243</v>
      </c>
      <c r="C101" s="246"/>
      <c r="D101" s="246"/>
      <c r="E101" s="247"/>
      <c r="F101" s="214" t="s">
        <v>44</v>
      </c>
      <c r="G101" s="210">
        <v>28</v>
      </c>
      <c r="H101" s="210">
        <v>549</v>
      </c>
      <c r="I101" s="211"/>
      <c r="J101" s="212"/>
      <c r="K101" s="48"/>
      <c r="L101" s="48"/>
      <c r="M101" s="48"/>
      <c r="N101" s="49"/>
      <c r="O101" s="49"/>
      <c r="P101" s="49"/>
      <c r="Q101" s="50">
        <f t="shared" si="31"/>
        <v>0</v>
      </c>
      <c r="R101" s="55">
        <f t="shared" si="34"/>
        <v>0</v>
      </c>
      <c r="S101" s="183"/>
      <c r="T101" s="40"/>
      <c r="U101" s="40">
        <f t="shared" si="35"/>
        <v>0</v>
      </c>
      <c r="V101" s="240" t="s">
        <v>244</v>
      </c>
      <c r="W101" s="241" t="s">
        <v>61</v>
      </c>
      <c r="X101" s="242">
        <v>8</v>
      </c>
      <c r="Y101" s="267">
        <v>305000</v>
      </c>
      <c r="Z101" s="464">
        <v>1</v>
      </c>
      <c r="AA101" s="467">
        <v>0.8</v>
      </c>
      <c r="AB101" s="40">
        <f t="shared" si="23"/>
        <v>1952000</v>
      </c>
      <c r="AC101" s="40">
        <f t="shared" si="24"/>
        <v>0</v>
      </c>
      <c r="AD101" s="40">
        <f t="shared" si="25"/>
        <v>0</v>
      </c>
      <c r="AE101" s="40">
        <f t="shared" si="26"/>
        <v>0</v>
      </c>
      <c r="AF101" s="56">
        <f t="shared" si="27"/>
        <v>1952000</v>
      </c>
      <c r="AG101" s="504"/>
      <c r="AH101" s="264" t="s">
        <v>245</v>
      </c>
    </row>
    <row r="102" spans="1:34" ht="53.25" customHeight="1" x14ac:dyDescent="0.25">
      <c r="A102" s="94">
        <v>28</v>
      </c>
      <c r="B102" s="95" t="s">
        <v>246</v>
      </c>
      <c r="C102" s="246"/>
      <c r="D102" s="246"/>
      <c r="E102" s="247"/>
      <c r="F102" s="214" t="s">
        <v>44</v>
      </c>
      <c r="G102" s="210">
        <v>28</v>
      </c>
      <c r="H102" s="210">
        <v>544</v>
      </c>
      <c r="I102" s="211">
        <v>310.3</v>
      </c>
      <c r="J102" s="212" t="s">
        <v>7</v>
      </c>
      <c r="K102" s="48"/>
      <c r="L102" s="48">
        <v>310.3</v>
      </c>
      <c r="M102" s="48"/>
      <c r="N102" s="49"/>
      <c r="O102" s="49"/>
      <c r="P102" s="49"/>
      <c r="Q102" s="50">
        <f t="shared" si="31"/>
        <v>310.3</v>
      </c>
      <c r="R102" s="55" t="str">
        <f t="shared" si="34"/>
        <v>LUC</v>
      </c>
      <c r="S102" s="183"/>
      <c r="T102" s="40">
        <v>80000</v>
      </c>
      <c r="U102" s="40">
        <f t="shared" si="35"/>
        <v>24824000</v>
      </c>
      <c r="V102" s="99" t="s">
        <v>321</v>
      </c>
      <c r="W102" s="241" t="s">
        <v>61</v>
      </c>
      <c r="X102" s="242">
        <v>20</v>
      </c>
      <c r="Y102" s="267">
        <v>118000</v>
      </c>
      <c r="Z102" s="464">
        <v>1</v>
      </c>
      <c r="AA102" s="467">
        <v>0.8</v>
      </c>
      <c r="AB102" s="40">
        <f t="shared" si="23"/>
        <v>1888000</v>
      </c>
      <c r="AC102" s="40">
        <f t="shared" si="24"/>
        <v>124120000</v>
      </c>
      <c r="AD102" s="40">
        <f t="shared" si="25"/>
        <v>4654500</v>
      </c>
      <c r="AE102" s="40">
        <f t="shared" si="26"/>
        <v>0</v>
      </c>
      <c r="AF102" s="56">
        <f t="shared" si="27"/>
        <v>155486500</v>
      </c>
      <c r="AG102" s="504">
        <f>AF102+AF103</f>
        <v>156446500</v>
      </c>
      <c r="AH102" s="69" t="s">
        <v>173</v>
      </c>
    </row>
    <row r="103" spans="1:34" ht="51.75" customHeight="1" x14ac:dyDescent="0.25">
      <c r="A103" s="94">
        <v>28</v>
      </c>
      <c r="B103" s="95" t="s">
        <v>246</v>
      </c>
      <c r="C103" s="246"/>
      <c r="D103" s="246"/>
      <c r="E103" s="247"/>
      <c r="F103" s="214" t="s">
        <v>44</v>
      </c>
      <c r="G103" s="210">
        <v>28</v>
      </c>
      <c r="H103" s="210">
        <v>544</v>
      </c>
      <c r="I103" s="211"/>
      <c r="J103" s="212"/>
      <c r="K103" s="48"/>
      <c r="L103" s="48"/>
      <c r="M103" s="48"/>
      <c r="N103" s="49"/>
      <c r="O103" s="49"/>
      <c r="P103" s="49"/>
      <c r="Q103" s="50">
        <f t="shared" si="31"/>
        <v>0</v>
      </c>
      <c r="R103" s="55">
        <f t="shared" si="34"/>
        <v>0</v>
      </c>
      <c r="S103" s="183"/>
      <c r="T103" s="40"/>
      <c r="U103" s="40">
        <f t="shared" si="35"/>
        <v>0</v>
      </c>
      <c r="V103" s="99" t="s">
        <v>324</v>
      </c>
      <c r="W103" s="241" t="s">
        <v>61</v>
      </c>
      <c r="X103" s="242">
        <v>30</v>
      </c>
      <c r="Y103" s="267">
        <v>40000</v>
      </c>
      <c r="Z103" s="464">
        <v>1</v>
      </c>
      <c r="AA103" s="467">
        <v>0.8</v>
      </c>
      <c r="AB103" s="40">
        <f t="shared" si="23"/>
        <v>960000</v>
      </c>
      <c r="AC103" s="40">
        <f t="shared" si="24"/>
        <v>0</v>
      </c>
      <c r="AD103" s="40">
        <f t="shared" si="25"/>
        <v>0</v>
      </c>
      <c r="AE103" s="40">
        <f t="shared" si="26"/>
        <v>0</v>
      </c>
      <c r="AF103" s="56">
        <f t="shared" si="27"/>
        <v>960000</v>
      </c>
      <c r="AG103" s="504"/>
      <c r="AH103" s="6"/>
    </row>
    <row r="104" spans="1:34" ht="47.25" customHeight="1" x14ac:dyDescent="0.25">
      <c r="A104" s="94">
        <v>29</v>
      </c>
      <c r="B104" s="95" t="s">
        <v>273</v>
      </c>
      <c r="C104" s="246">
        <v>5</v>
      </c>
      <c r="D104" s="246">
        <v>64</v>
      </c>
      <c r="E104" s="247">
        <v>184</v>
      </c>
      <c r="F104" s="214" t="s">
        <v>33</v>
      </c>
      <c r="G104" s="210">
        <v>29</v>
      </c>
      <c r="H104" s="210">
        <v>91</v>
      </c>
      <c r="I104" s="211">
        <v>190.4</v>
      </c>
      <c r="J104" s="213" t="s">
        <v>7</v>
      </c>
      <c r="K104" s="48">
        <v>71.7</v>
      </c>
      <c r="L104" s="48"/>
      <c r="M104" s="48"/>
      <c r="N104" s="49"/>
      <c r="O104" s="49"/>
      <c r="P104" s="49"/>
      <c r="Q104" s="50">
        <f t="shared" si="31"/>
        <v>71.7</v>
      </c>
      <c r="R104" s="55" t="str">
        <f t="shared" si="34"/>
        <v>LUC</v>
      </c>
      <c r="S104" s="184"/>
      <c r="T104" s="40">
        <v>80000</v>
      </c>
      <c r="U104" s="40">
        <f t="shared" si="35"/>
        <v>5736000</v>
      </c>
      <c r="V104" s="158" t="s">
        <v>64</v>
      </c>
      <c r="W104" s="241" t="s">
        <v>24</v>
      </c>
      <c r="X104" s="242">
        <f t="shared" ref="X104" si="38">Q104</f>
        <v>71.7</v>
      </c>
      <c r="Y104" s="267">
        <v>9000</v>
      </c>
      <c r="Z104" s="464">
        <v>1</v>
      </c>
      <c r="AA104" s="467">
        <v>1</v>
      </c>
      <c r="AB104" s="40">
        <f t="shared" si="23"/>
        <v>645300</v>
      </c>
      <c r="AC104" s="40">
        <f t="shared" si="24"/>
        <v>28680000</v>
      </c>
      <c r="AD104" s="40">
        <f t="shared" si="25"/>
        <v>1075500</v>
      </c>
      <c r="AE104" s="40">
        <f t="shared" si="26"/>
        <v>0</v>
      </c>
      <c r="AF104" s="56">
        <f t="shared" si="27"/>
        <v>36136800</v>
      </c>
      <c r="AG104" s="250">
        <f>AF104</f>
        <v>36136800</v>
      </c>
      <c r="AH104" s="69" t="s">
        <v>274</v>
      </c>
    </row>
    <row r="105" spans="1:34" ht="38.25" customHeight="1" x14ac:dyDescent="0.25">
      <c r="A105" s="94">
        <v>30</v>
      </c>
      <c r="B105" s="95" t="s">
        <v>252</v>
      </c>
      <c r="C105" s="246">
        <v>5</v>
      </c>
      <c r="D105" s="246">
        <v>179</v>
      </c>
      <c r="E105" s="247">
        <v>48</v>
      </c>
      <c r="F105" s="249" t="s">
        <v>44</v>
      </c>
      <c r="G105" s="210">
        <v>28</v>
      </c>
      <c r="H105" s="210">
        <v>602</v>
      </c>
      <c r="I105" s="211">
        <v>145</v>
      </c>
      <c r="J105" s="212" t="s">
        <v>48</v>
      </c>
      <c r="K105" s="48">
        <v>48</v>
      </c>
      <c r="L105" s="48">
        <v>94.1</v>
      </c>
      <c r="M105" s="48"/>
      <c r="N105" s="49"/>
      <c r="O105" s="49"/>
      <c r="P105" s="49"/>
      <c r="Q105" s="50">
        <f t="shared" si="31"/>
        <v>142.1</v>
      </c>
      <c r="R105" s="55" t="str">
        <f t="shared" si="34"/>
        <v>LUK</v>
      </c>
      <c r="S105" s="183"/>
      <c r="T105" s="40">
        <v>80000</v>
      </c>
      <c r="U105" s="40">
        <f t="shared" si="35"/>
        <v>11368000</v>
      </c>
      <c r="V105" s="244" t="s">
        <v>64</v>
      </c>
      <c r="W105" s="241" t="s">
        <v>24</v>
      </c>
      <c r="X105" s="242">
        <f>Q105</f>
        <v>142.1</v>
      </c>
      <c r="Y105" s="267">
        <v>9000</v>
      </c>
      <c r="Z105" s="464">
        <v>1</v>
      </c>
      <c r="AA105" s="467">
        <v>1</v>
      </c>
      <c r="AB105" s="40">
        <f t="shared" si="23"/>
        <v>1278900</v>
      </c>
      <c r="AC105" s="40">
        <f t="shared" si="24"/>
        <v>56840000</v>
      </c>
      <c r="AD105" s="40">
        <f t="shared" si="25"/>
        <v>2131500</v>
      </c>
      <c r="AE105" s="40">
        <f t="shared" si="26"/>
        <v>0</v>
      </c>
      <c r="AF105" s="56">
        <f t="shared" si="27"/>
        <v>71618400</v>
      </c>
      <c r="AG105" s="56">
        <f>AF105</f>
        <v>71618400</v>
      </c>
      <c r="AH105" s="69" t="s">
        <v>253</v>
      </c>
    </row>
    <row r="106" spans="1:34" ht="36" x14ac:dyDescent="0.25">
      <c r="A106" s="94">
        <v>31</v>
      </c>
      <c r="B106" s="95" t="s">
        <v>255</v>
      </c>
      <c r="C106" s="246"/>
      <c r="D106" s="246"/>
      <c r="E106" s="247"/>
      <c r="F106" s="248" t="s">
        <v>256</v>
      </c>
      <c r="G106" s="210">
        <v>28</v>
      </c>
      <c r="H106" s="210">
        <v>537</v>
      </c>
      <c r="I106" s="211">
        <v>164.2</v>
      </c>
      <c r="J106" s="212" t="s">
        <v>48</v>
      </c>
      <c r="K106" s="48"/>
      <c r="L106" s="48">
        <v>164.2</v>
      </c>
      <c r="M106" s="48"/>
      <c r="N106" s="49"/>
      <c r="O106" s="49"/>
      <c r="P106" s="49"/>
      <c r="Q106" s="50">
        <f t="shared" si="31"/>
        <v>164.2</v>
      </c>
      <c r="R106" s="55" t="str">
        <f t="shared" si="34"/>
        <v>LUK</v>
      </c>
      <c r="S106" s="183"/>
      <c r="T106" s="40">
        <v>80000</v>
      </c>
      <c r="U106" s="40">
        <f t="shared" si="35"/>
        <v>13136000</v>
      </c>
      <c r="V106" s="158" t="s">
        <v>64</v>
      </c>
      <c r="W106" s="241" t="s">
        <v>24</v>
      </c>
      <c r="X106" s="242">
        <f>Q106</f>
        <v>164.2</v>
      </c>
      <c r="Y106" s="267">
        <v>9000</v>
      </c>
      <c r="Z106" s="464">
        <v>1</v>
      </c>
      <c r="AA106" s="467">
        <v>1</v>
      </c>
      <c r="AB106" s="40">
        <f t="shared" si="23"/>
        <v>1477800</v>
      </c>
      <c r="AC106" s="40">
        <f t="shared" si="24"/>
        <v>65680000</v>
      </c>
      <c r="AD106" s="40">
        <f t="shared" si="25"/>
        <v>2463000</v>
      </c>
      <c r="AE106" s="40">
        <f t="shared" si="26"/>
        <v>0</v>
      </c>
      <c r="AF106" s="56">
        <f t="shared" si="27"/>
        <v>82756800</v>
      </c>
      <c r="AG106" s="504">
        <f>SUM(AF106:AF108)</f>
        <v>229138800</v>
      </c>
      <c r="AH106" s="69" t="s">
        <v>326</v>
      </c>
    </row>
    <row r="107" spans="1:34" ht="90.75" customHeight="1" x14ac:dyDescent="0.25">
      <c r="A107" s="94">
        <v>31</v>
      </c>
      <c r="B107" s="95" t="s">
        <v>255</v>
      </c>
      <c r="C107" s="246">
        <v>5</v>
      </c>
      <c r="D107" s="246">
        <v>132</v>
      </c>
      <c r="E107" s="247">
        <v>288</v>
      </c>
      <c r="F107" s="249" t="s">
        <v>44</v>
      </c>
      <c r="G107" s="210">
        <v>28</v>
      </c>
      <c r="H107" s="210">
        <v>550</v>
      </c>
      <c r="I107" s="211">
        <v>294.8</v>
      </c>
      <c r="J107" s="212" t="s">
        <v>48</v>
      </c>
      <c r="K107" s="48">
        <v>288</v>
      </c>
      <c r="L107" s="48">
        <f>I107-K107</f>
        <v>6.8000000000000114</v>
      </c>
      <c r="M107" s="48"/>
      <c r="N107" s="49"/>
      <c r="O107" s="49"/>
      <c r="P107" s="49"/>
      <c r="Q107" s="50">
        <f t="shared" si="31"/>
        <v>294.8</v>
      </c>
      <c r="R107" s="55" t="str">
        <f t="shared" si="34"/>
        <v>LUK</v>
      </c>
      <c r="S107" s="183"/>
      <c r="T107" s="40">
        <v>80000</v>
      </c>
      <c r="U107" s="40">
        <f t="shared" si="35"/>
        <v>23584000</v>
      </c>
      <c r="V107" s="158" t="s">
        <v>267</v>
      </c>
      <c r="W107" s="241" t="s">
        <v>24</v>
      </c>
      <c r="X107" s="242">
        <v>100</v>
      </c>
      <c r="Y107" s="267"/>
      <c r="Z107" s="464"/>
      <c r="AA107" s="467"/>
      <c r="AB107" s="40">
        <f t="shared" si="23"/>
        <v>0</v>
      </c>
      <c r="AC107" s="40">
        <f t="shared" si="24"/>
        <v>117920000</v>
      </c>
      <c r="AD107" s="40">
        <f t="shared" si="25"/>
        <v>4422000</v>
      </c>
      <c r="AE107" s="40">
        <f t="shared" si="26"/>
        <v>0</v>
      </c>
      <c r="AF107" s="56">
        <f t="shared" si="27"/>
        <v>145926000</v>
      </c>
      <c r="AG107" s="504"/>
      <c r="AH107" s="69" t="s">
        <v>266</v>
      </c>
    </row>
    <row r="108" spans="1:34" ht="65.25" customHeight="1" x14ac:dyDescent="0.25">
      <c r="A108" s="94">
        <v>31</v>
      </c>
      <c r="B108" s="95" t="s">
        <v>255</v>
      </c>
      <c r="C108" s="246"/>
      <c r="D108" s="246"/>
      <c r="E108" s="247"/>
      <c r="F108" s="249" t="s">
        <v>44</v>
      </c>
      <c r="G108" s="210">
        <v>28</v>
      </c>
      <c r="H108" s="210">
        <v>550</v>
      </c>
      <c r="I108" s="211"/>
      <c r="J108" s="212"/>
      <c r="K108" s="48"/>
      <c r="L108" s="48"/>
      <c r="M108" s="48"/>
      <c r="N108" s="49"/>
      <c r="O108" s="49"/>
      <c r="P108" s="49"/>
      <c r="Q108" s="50">
        <f t="shared" si="31"/>
        <v>0</v>
      </c>
      <c r="R108" s="55">
        <f t="shared" si="34"/>
        <v>0</v>
      </c>
      <c r="S108" s="183"/>
      <c r="T108" s="40"/>
      <c r="U108" s="40">
        <f t="shared" si="35"/>
        <v>0</v>
      </c>
      <c r="V108" s="96" t="s">
        <v>311</v>
      </c>
      <c r="W108" s="241" t="s">
        <v>61</v>
      </c>
      <c r="X108" s="242">
        <v>2</v>
      </c>
      <c r="Y108" s="267">
        <v>285000</v>
      </c>
      <c r="Z108" s="464">
        <v>1</v>
      </c>
      <c r="AA108" s="467">
        <v>0.8</v>
      </c>
      <c r="AB108" s="40">
        <f t="shared" si="23"/>
        <v>456000</v>
      </c>
      <c r="AC108" s="40">
        <f t="shared" si="24"/>
        <v>0</v>
      </c>
      <c r="AD108" s="40">
        <f t="shared" si="25"/>
        <v>0</v>
      </c>
      <c r="AE108" s="40">
        <f t="shared" si="26"/>
        <v>0</v>
      </c>
      <c r="AF108" s="56">
        <f t="shared" si="27"/>
        <v>456000</v>
      </c>
      <c r="AG108" s="504"/>
      <c r="AH108" s="264"/>
    </row>
    <row r="109" spans="1:34" ht="56.25" customHeight="1" x14ac:dyDescent="0.25">
      <c r="A109" s="94">
        <v>32</v>
      </c>
      <c r="B109" s="95" t="s">
        <v>257</v>
      </c>
      <c r="C109" s="246">
        <v>5</v>
      </c>
      <c r="D109" s="246">
        <v>43</v>
      </c>
      <c r="E109" s="247">
        <f>312+48</f>
        <v>360</v>
      </c>
      <c r="F109" s="214" t="s">
        <v>33</v>
      </c>
      <c r="G109" s="210">
        <v>29</v>
      </c>
      <c r="H109" s="210">
        <v>59</v>
      </c>
      <c r="I109" s="211">
        <v>425.8</v>
      </c>
      <c r="J109" s="212" t="s">
        <v>7</v>
      </c>
      <c r="K109" s="48">
        <v>360</v>
      </c>
      <c r="L109" s="48">
        <f>I109-K109</f>
        <v>65.800000000000011</v>
      </c>
      <c r="M109" s="48"/>
      <c r="N109" s="49"/>
      <c r="O109" s="49"/>
      <c r="P109" s="49"/>
      <c r="Q109" s="50">
        <f t="shared" si="31"/>
        <v>425.8</v>
      </c>
      <c r="R109" s="55" t="str">
        <f t="shared" si="34"/>
        <v>LUC</v>
      </c>
      <c r="S109" s="183"/>
      <c r="T109" s="40">
        <v>80000</v>
      </c>
      <c r="U109" s="40">
        <f t="shared" si="35"/>
        <v>34064000</v>
      </c>
      <c r="V109" s="271" t="s">
        <v>258</v>
      </c>
      <c r="W109" s="241" t="s">
        <v>61</v>
      </c>
      <c r="X109" s="242">
        <v>8</v>
      </c>
      <c r="Y109" s="267">
        <v>45000</v>
      </c>
      <c r="Z109" s="464">
        <v>1</v>
      </c>
      <c r="AA109" s="467">
        <v>0.8</v>
      </c>
      <c r="AB109" s="40">
        <f t="shared" si="23"/>
        <v>288000</v>
      </c>
      <c r="AC109" s="40">
        <f t="shared" si="24"/>
        <v>170320000</v>
      </c>
      <c r="AD109" s="40">
        <f t="shared" si="25"/>
        <v>6387000</v>
      </c>
      <c r="AE109" s="40">
        <f t="shared" si="26"/>
        <v>0</v>
      </c>
      <c r="AF109" s="56">
        <f t="shared" si="27"/>
        <v>211059000</v>
      </c>
      <c r="AG109" s="504">
        <f>SUM(AF109:AF115)</f>
        <v>1417370200</v>
      </c>
      <c r="AH109" s="6"/>
    </row>
    <row r="110" spans="1:34" ht="56.25" customHeight="1" x14ac:dyDescent="0.25">
      <c r="A110" s="94">
        <v>32</v>
      </c>
      <c r="B110" s="95" t="s">
        <v>257</v>
      </c>
      <c r="C110" s="246"/>
      <c r="D110" s="246"/>
      <c r="E110" s="247"/>
      <c r="F110" s="214" t="s">
        <v>33</v>
      </c>
      <c r="G110" s="210">
        <v>29</v>
      </c>
      <c r="H110" s="210">
        <v>59</v>
      </c>
      <c r="I110" s="211"/>
      <c r="J110" s="212"/>
      <c r="K110" s="48"/>
      <c r="L110" s="48"/>
      <c r="M110" s="48"/>
      <c r="N110" s="49"/>
      <c r="O110" s="49"/>
      <c r="P110" s="49"/>
      <c r="Q110" s="50"/>
      <c r="R110" s="55"/>
      <c r="S110" s="183"/>
      <c r="T110" s="40"/>
      <c r="U110" s="40">
        <f t="shared" si="35"/>
        <v>0</v>
      </c>
      <c r="V110" s="271" t="s">
        <v>303</v>
      </c>
      <c r="W110" s="241" t="s">
        <v>61</v>
      </c>
      <c r="X110" s="242">
        <v>2</v>
      </c>
      <c r="Y110" s="267">
        <v>1000000</v>
      </c>
      <c r="Z110" s="464">
        <v>1</v>
      </c>
      <c r="AA110" s="467">
        <v>0.8</v>
      </c>
      <c r="AB110" s="40">
        <f t="shared" si="23"/>
        <v>1600000</v>
      </c>
      <c r="AC110" s="40">
        <f t="shared" si="24"/>
        <v>0</v>
      </c>
      <c r="AD110" s="40">
        <f t="shared" si="25"/>
        <v>0</v>
      </c>
      <c r="AE110" s="40">
        <f t="shared" si="26"/>
        <v>0</v>
      </c>
      <c r="AF110" s="56">
        <f t="shared" si="27"/>
        <v>1600000</v>
      </c>
      <c r="AG110" s="504"/>
      <c r="AH110" s="6"/>
    </row>
    <row r="111" spans="1:34" ht="30" customHeight="1" x14ac:dyDescent="0.25">
      <c r="A111" s="94">
        <v>32</v>
      </c>
      <c r="B111" s="95" t="s">
        <v>257</v>
      </c>
      <c r="C111" s="494">
        <v>5</v>
      </c>
      <c r="D111" s="494">
        <v>40</v>
      </c>
      <c r="E111" s="495">
        <v>792</v>
      </c>
      <c r="F111" s="214" t="s">
        <v>33</v>
      </c>
      <c r="G111" s="210">
        <v>29</v>
      </c>
      <c r="H111" s="210">
        <v>36</v>
      </c>
      <c r="I111" s="211">
        <v>372.3</v>
      </c>
      <c r="J111" s="212" t="s">
        <v>7</v>
      </c>
      <c r="K111" s="48">
        <v>372.3</v>
      </c>
      <c r="L111" s="48"/>
      <c r="M111" s="48"/>
      <c r="N111" s="49"/>
      <c r="O111" s="49"/>
      <c r="P111" s="49"/>
      <c r="Q111" s="50">
        <f t="shared" si="31"/>
        <v>372.3</v>
      </c>
      <c r="R111" s="55" t="str">
        <f t="shared" si="34"/>
        <v>LUC</v>
      </c>
      <c r="S111" s="183"/>
      <c r="T111" s="40">
        <v>80000</v>
      </c>
      <c r="U111" s="40">
        <f t="shared" si="35"/>
        <v>29784000</v>
      </c>
      <c r="V111" s="158" t="s">
        <v>64</v>
      </c>
      <c r="W111" s="241" t="s">
        <v>24</v>
      </c>
      <c r="X111" s="242">
        <f t="shared" ref="X111:X115" si="39">Q111</f>
        <v>372.3</v>
      </c>
      <c r="Y111" s="267">
        <v>9000</v>
      </c>
      <c r="Z111" s="464">
        <v>1</v>
      </c>
      <c r="AA111" s="467">
        <v>1</v>
      </c>
      <c r="AB111" s="40">
        <f t="shared" si="23"/>
        <v>3350700</v>
      </c>
      <c r="AC111" s="40">
        <f t="shared" si="24"/>
        <v>148920000</v>
      </c>
      <c r="AD111" s="40">
        <f t="shared" si="25"/>
        <v>5584500</v>
      </c>
      <c r="AE111" s="40">
        <f t="shared" si="26"/>
        <v>0</v>
      </c>
      <c r="AF111" s="56">
        <f t="shared" si="27"/>
        <v>187639200</v>
      </c>
      <c r="AG111" s="504"/>
      <c r="AH111" s="6"/>
    </row>
    <row r="112" spans="1:34" ht="30" customHeight="1" x14ac:dyDescent="0.25">
      <c r="A112" s="94">
        <v>32</v>
      </c>
      <c r="B112" s="95" t="s">
        <v>257</v>
      </c>
      <c r="C112" s="494"/>
      <c r="D112" s="494"/>
      <c r="E112" s="495"/>
      <c r="F112" s="214" t="s">
        <v>33</v>
      </c>
      <c r="G112" s="210">
        <v>29</v>
      </c>
      <c r="H112" s="210">
        <v>46</v>
      </c>
      <c r="I112" s="211">
        <v>407.4</v>
      </c>
      <c r="J112" s="212" t="s">
        <v>7</v>
      </c>
      <c r="K112" s="48">
        <v>407.4</v>
      </c>
      <c r="L112" s="48"/>
      <c r="M112" s="48"/>
      <c r="N112" s="49"/>
      <c r="O112" s="49"/>
      <c r="P112" s="49"/>
      <c r="Q112" s="50">
        <f t="shared" si="31"/>
        <v>407.4</v>
      </c>
      <c r="R112" s="55" t="str">
        <f t="shared" si="34"/>
        <v>LUC</v>
      </c>
      <c r="S112" s="183"/>
      <c r="T112" s="40">
        <v>80000</v>
      </c>
      <c r="U112" s="40">
        <f t="shared" si="35"/>
        <v>32592000</v>
      </c>
      <c r="V112" s="158" t="s">
        <v>64</v>
      </c>
      <c r="W112" s="241" t="s">
        <v>24</v>
      </c>
      <c r="X112" s="242">
        <f t="shared" si="39"/>
        <v>407.4</v>
      </c>
      <c r="Y112" s="267">
        <v>9000</v>
      </c>
      <c r="Z112" s="464">
        <v>1</v>
      </c>
      <c r="AA112" s="467">
        <v>1</v>
      </c>
      <c r="AB112" s="40">
        <f t="shared" si="23"/>
        <v>3666600</v>
      </c>
      <c r="AC112" s="40">
        <f t="shared" si="24"/>
        <v>162960000</v>
      </c>
      <c r="AD112" s="40">
        <f t="shared" si="25"/>
        <v>6111000</v>
      </c>
      <c r="AE112" s="40">
        <f t="shared" si="26"/>
        <v>0</v>
      </c>
      <c r="AF112" s="56">
        <f t="shared" si="27"/>
        <v>205329600</v>
      </c>
      <c r="AG112" s="504"/>
      <c r="AH112" s="6"/>
    </row>
    <row r="113" spans="1:36" ht="30" customHeight="1" x14ac:dyDescent="0.25">
      <c r="A113" s="94">
        <v>32</v>
      </c>
      <c r="B113" s="95" t="s">
        <v>257</v>
      </c>
      <c r="C113" s="494">
        <v>5</v>
      </c>
      <c r="D113" s="494">
        <v>79</v>
      </c>
      <c r="E113" s="495">
        <v>864</v>
      </c>
      <c r="F113" s="214" t="s">
        <v>33</v>
      </c>
      <c r="G113" s="210">
        <v>28</v>
      </c>
      <c r="H113" s="210">
        <v>612</v>
      </c>
      <c r="I113" s="211">
        <v>388.5</v>
      </c>
      <c r="J113" s="212" t="s">
        <v>7</v>
      </c>
      <c r="K113" s="48">
        <v>388.5</v>
      </c>
      <c r="L113" s="48"/>
      <c r="M113" s="48"/>
      <c r="N113" s="49"/>
      <c r="O113" s="49"/>
      <c r="P113" s="49"/>
      <c r="Q113" s="50">
        <f t="shared" si="31"/>
        <v>388.5</v>
      </c>
      <c r="R113" s="55" t="str">
        <f t="shared" si="34"/>
        <v>LUC</v>
      </c>
      <c r="S113" s="183"/>
      <c r="T113" s="40">
        <v>80000</v>
      </c>
      <c r="U113" s="40">
        <f t="shared" si="35"/>
        <v>31080000</v>
      </c>
      <c r="V113" s="158" t="s">
        <v>64</v>
      </c>
      <c r="W113" s="241" t="s">
        <v>24</v>
      </c>
      <c r="X113" s="242">
        <f t="shared" si="39"/>
        <v>388.5</v>
      </c>
      <c r="Y113" s="267">
        <v>9000</v>
      </c>
      <c r="Z113" s="464">
        <v>1</v>
      </c>
      <c r="AA113" s="467">
        <v>1</v>
      </c>
      <c r="AB113" s="40">
        <f t="shared" si="23"/>
        <v>3496500</v>
      </c>
      <c r="AC113" s="40">
        <f t="shared" si="24"/>
        <v>155400000</v>
      </c>
      <c r="AD113" s="40">
        <f t="shared" si="25"/>
        <v>5827500</v>
      </c>
      <c r="AE113" s="40">
        <f t="shared" si="26"/>
        <v>0</v>
      </c>
      <c r="AF113" s="56">
        <f t="shared" si="27"/>
        <v>195804000</v>
      </c>
      <c r="AG113" s="504"/>
      <c r="AH113" s="69"/>
    </row>
    <row r="114" spans="1:36" ht="30" customHeight="1" x14ac:dyDescent="0.25">
      <c r="A114" s="94">
        <v>32</v>
      </c>
      <c r="B114" s="95" t="s">
        <v>257</v>
      </c>
      <c r="C114" s="494"/>
      <c r="D114" s="494"/>
      <c r="E114" s="495"/>
      <c r="F114" s="214" t="s">
        <v>33</v>
      </c>
      <c r="G114" s="210">
        <v>28</v>
      </c>
      <c r="H114" s="210">
        <v>542</v>
      </c>
      <c r="I114" s="211">
        <v>481.2</v>
      </c>
      <c r="J114" s="212" t="s">
        <v>7</v>
      </c>
      <c r="K114" s="48">
        <f>864-388.5</f>
        <v>475.5</v>
      </c>
      <c r="L114" s="48">
        <f>I113+I114-K113-K114</f>
        <v>5.7000000000000455</v>
      </c>
      <c r="M114" s="48"/>
      <c r="N114" s="49"/>
      <c r="O114" s="49"/>
      <c r="P114" s="49"/>
      <c r="Q114" s="50">
        <f t="shared" si="31"/>
        <v>481.20000000000005</v>
      </c>
      <c r="R114" s="55" t="str">
        <f t="shared" si="34"/>
        <v>LUC</v>
      </c>
      <c r="S114" s="183"/>
      <c r="T114" s="40">
        <v>80000</v>
      </c>
      <c r="U114" s="40">
        <f t="shared" si="35"/>
        <v>38496000</v>
      </c>
      <c r="V114" s="158" t="s">
        <v>64</v>
      </c>
      <c r="W114" s="241" t="s">
        <v>24</v>
      </c>
      <c r="X114" s="242">
        <f t="shared" si="39"/>
        <v>481.20000000000005</v>
      </c>
      <c r="Y114" s="267">
        <v>9000</v>
      </c>
      <c r="Z114" s="464">
        <v>1</v>
      </c>
      <c r="AA114" s="467">
        <v>1</v>
      </c>
      <c r="AB114" s="40">
        <f t="shared" si="23"/>
        <v>4330800</v>
      </c>
      <c r="AC114" s="40">
        <f t="shared" si="24"/>
        <v>192480000</v>
      </c>
      <c r="AD114" s="40">
        <f t="shared" si="25"/>
        <v>7218000.0000000009</v>
      </c>
      <c r="AE114" s="40">
        <f t="shared" si="26"/>
        <v>0</v>
      </c>
      <c r="AF114" s="56">
        <f t="shared" si="27"/>
        <v>242524800</v>
      </c>
      <c r="AG114" s="504"/>
      <c r="AH114" s="6"/>
    </row>
    <row r="115" spans="1:36" ht="30" customHeight="1" x14ac:dyDescent="0.25">
      <c r="A115" s="94">
        <v>32</v>
      </c>
      <c r="B115" s="95" t="s">
        <v>257</v>
      </c>
      <c r="C115" s="246">
        <v>5</v>
      </c>
      <c r="D115" s="246">
        <v>133</v>
      </c>
      <c r="E115" s="247">
        <v>600</v>
      </c>
      <c r="F115" s="215" t="s">
        <v>237</v>
      </c>
      <c r="G115" s="210">
        <v>28</v>
      </c>
      <c r="H115" s="210">
        <v>617</v>
      </c>
      <c r="I115" s="211">
        <v>740.9</v>
      </c>
      <c r="J115" s="212" t="s">
        <v>7</v>
      </c>
      <c r="K115" s="48">
        <v>600</v>
      </c>
      <c r="L115" s="48">
        <f>I115-K115</f>
        <v>140.89999999999998</v>
      </c>
      <c r="M115" s="48"/>
      <c r="N115" s="49"/>
      <c r="O115" s="49"/>
      <c r="P115" s="49"/>
      <c r="Q115" s="50">
        <f t="shared" si="31"/>
        <v>740.9</v>
      </c>
      <c r="R115" s="55" t="str">
        <f t="shared" si="34"/>
        <v>LUC</v>
      </c>
      <c r="S115" s="183"/>
      <c r="T115" s="40">
        <v>80000</v>
      </c>
      <c r="U115" s="40">
        <f t="shared" si="35"/>
        <v>59272000</v>
      </c>
      <c r="V115" s="158" t="s">
        <v>64</v>
      </c>
      <c r="W115" s="241" t="s">
        <v>24</v>
      </c>
      <c r="X115" s="242">
        <f t="shared" si="39"/>
        <v>740.9</v>
      </c>
      <c r="Y115" s="267">
        <v>9000</v>
      </c>
      <c r="Z115" s="464">
        <v>1</v>
      </c>
      <c r="AA115" s="467">
        <v>1</v>
      </c>
      <c r="AB115" s="40">
        <f t="shared" si="23"/>
        <v>6668100</v>
      </c>
      <c r="AC115" s="40">
        <f t="shared" si="24"/>
        <v>296360000</v>
      </c>
      <c r="AD115" s="40">
        <f t="shared" si="25"/>
        <v>11113500</v>
      </c>
      <c r="AE115" s="40">
        <f t="shared" si="26"/>
        <v>0</v>
      </c>
      <c r="AF115" s="56">
        <f t="shared" si="27"/>
        <v>373413600</v>
      </c>
      <c r="AG115" s="504"/>
      <c r="AH115" s="6"/>
    </row>
    <row r="116" spans="1:36" ht="21.75" customHeight="1" x14ac:dyDescent="0.25">
      <c r="A116" s="252"/>
      <c r="B116" s="253" t="s">
        <v>25</v>
      </c>
      <c r="C116" s="254"/>
      <c r="D116" s="254"/>
      <c r="E116" s="261">
        <f>SUBTOTAL(9,E9:E115)</f>
        <v>28072</v>
      </c>
      <c r="F116" s="261">
        <f>SUBTOTAL(9,F9:F115)</f>
        <v>0</v>
      </c>
      <c r="G116" s="261"/>
      <c r="H116" s="261"/>
      <c r="I116" s="261">
        <f t="shared" ref="I116:S116" si="40">SUBTOTAL(9,I9:I115)</f>
        <v>40982.700000000019</v>
      </c>
      <c r="J116" s="261">
        <f t="shared" si="40"/>
        <v>0</v>
      </c>
      <c r="K116" s="261">
        <f t="shared" si="40"/>
        <v>25584.6</v>
      </c>
      <c r="L116" s="261">
        <f t="shared" si="40"/>
        <v>7537.0999999999985</v>
      </c>
      <c r="M116" s="261">
        <f t="shared" si="40"/>
        <v>311.3</v>
      </c>
      <c r="N116" s="261">
        <f t="shared" si="40"/>
        <v>60.800000000000004</v>
      </c>
      <c r="O116" s="261">
        <f t="shared" si="40"/>
        <v>82.699999999999989</v>
      </c>
      <c r="P116" s="261">
        <f t="shared" si="40"/>
        <v>0</v>
      </c>
      <c r="Q116" s="261">
        <f t="shared" si="40"/>
        <v>33576.5</v>
      </c>
      <c r="R116" s="261">
        <f t="shared" si="40"/>
        <v>0</v>
      </c>
      <c r="S116" s="261">
        <f t="shared" si="40"/>
        <v>657.3</v>
      </c>
      <c r="T116" s="261"/>
      <c r="U116" s="262">
        <f>SUBTOTAL(9,U9:U115)</f>
        <v>2661216000</v>
      </c>
      <c r="V116" s="53">
        <f>SUBTOTAL(9,V9:V115)</f>
        <v>0</v>
      </c>
      <c r="W116" s="47">
        <f>SUBTOTAL(9,W9:W115)</f>
        <v>0</v>
      </c>
      <c r="X116" s="47">
        <f>SUBTOTAL(9,X9:X115)</f>
        <v>31320.400000000005</v>
      </c>
      <c r="Y116" s="101"/>
      <c r="Z116" s="464"/>
      <c r="AA116" s="47"/>
      <c r="AB116" s="101">
        <f t="shared" ref="AB116:AG116" si="41">SUBTOTAL(9,AB9:AB115)</f>
        <v>338177070</v>
      </c>
      <c r="AC116" s="101">
        <f t="shared" si="41"/>
        <v>13306080000</v>
      </c>
      <c r="AD116" s="101">
        <f t="shared" si="41"/>
        <v>498978000</v>
      </c>
      <c r="AE116" s="101">
        <f t="shared" si="41"/>
        <v>24904000</v>
      </c>
      <c r="AF116" s="101">
        <f t="shared" si="41"/>
        <v>16829355070</v>
      </c>
      <c r="AG116" s="101">
        <f t="shared" si="41"/>
        <v>16829355070</v>
      </c>
      <c r="AH116" s="255">
        <f>SUM(AH9:AH10)</f>
        <v>0</v>
      </c>
    </row>
    <row r="117" spans="1:36" ht="11.25" customHeight="1" x14ac:dyDescent="0.25"/>
    <row r="118" spans="1:36" s="79" customFormat="1" x14ac:dyDescent="0.25">
      <c r="A118" s="378"/>
      <c r="B118" s="379"/>
      <c r="C118" s="380"/>
      <c r="D118" s="380"/>
      <c r="E118" s="380"/>
      <c r="F118" s="380"/>
      <c r="G118" s="381"/>
      <c r="H118" s="382"/>
      <c r="I118" s="444"/>
      <c r="J118" s="511"/>
      <c r="K118" s="511"/>
      <c r="L118" s="471"/>
      <c r="M118" s="54"/>
      <c r="N118" s="383"/>
      <c r="O118" s="383"/>
      <c r="P118" s="383"/>
      <c r="Q118" s="385"/>
      <c r="R118" s="386"/>
      <c r="S118" s="387"/>
      <c r="T118" s="57"/>
      <c r="U118" s="57"/>
      <c r="V118" s="245"/>
      <c r="W118" s="245"/>
      <c r="X118" s="108"/>
      <c r="Y118" s="57"/>
      <c r="Z118" s="57"/>
      <c r="AA118" s="57"/>
      <c r="AB118" s="57"/>
      <c r="AC118" s="512" t="s">
        <v>458</v>
      </c>
      <c r="AD118" s="512"/>
      <c r="AE118" s="512"/>
      <c r="AF118" s="512"/>
      <c r="AG118" s="388"/>
      <c r="AH118" s="106"/>
      <c r="AI118" s="54"/>
      <c r="AJ118" s="106"/>
    </row>
    <row r="119" spans="1:36" s="396" customFormat="1" x14ac:dyDescent="0.25">
      <c r="A119" s="389"/>
      <c r="B119" s="514" t="s">
        <v>398</v>
      </c>
      <c r="C119" s="514"/>
      <c r="D119" s="514"/>
      <c r="E119" s="514"/>
      <c r="F119" s="514"/>
      <c r="G119" s="514"/>
      <c r="H119" s="514"/>
      <c r="I119" s="514"/>
      <c r="J119" s="514"/>
      <c r="K119" s="514"/>
      <c r="L119" s="514"/>
      <c r="M119" s="104"/>
      <c r="N119" s="104"/>
      <c r="O119" s="104"/>
      <c r="P119" s="392"/>
      <c r="Q119" s="393"/>
      <c r="R119" s="394"/>
      <c r="S119" s="395"/>
      <c r="T119" s="513" t="s">
        <v>399</v>
      </c>
      <c r="U119" s="513"/>
      <c r="V119" s="513"/>
      <c r="W119" s="513"/>
      <c r="Z119" s="104"/>
      <c r="AA119" s="104"/>
      <c r="AB119" s="104"/>
      <c r="AC119" s="513" t="s">
        <v>400</v>
      </c>
      <c r="AD119" s="513"/>
      <c r="AE119" s="513"/>
      <c r="AF119" s="513"/>
      <c r="AH119" s="397"/>
      <c r="AI119" s="392"/>
      <c r="AJ119" s="397"/>
    </row>
    <row r="120" spans="1:36" s="396" customFormat="1" x14ac:dyDescent="0.25">
      <c r="A120" s="389"/>
      <c r="B120" s="513" t="s">
        <v>401</v>
      </c>
      <c r="C120" s="513"/>
      <c r="D120" s="513"/>
      <c r="E120" s="513"/>
      <c r="F120" s="513"/>
      <c r="G120" s="513"/>
      <c r="H120" s="513"/>
      <c r="I120" s="513"/>
      <c r="J120" s="513"/>
      <c r="K120" s="513"/>
      <c r="L120" s="513"/>
      <c r="O120" s="392"/>
      <c r="P120" s="392"/>
      <c r="R120" s="394"/>
      <c r="S120" s="395"/>
      <c r="T120" s="513" t="s">
        <v>402</v>
      </c>
      <c r="U120" s="513"/>
      <c r="V120" s="513"/>
      <c r="W120" s="513"/>
      <c r="X120" s="398"/>
      <c r="Y120" s="104"/>
      <c r="Z120" s="104"/>
      <c r="AA120" s="104"/>
      <c r="AB120" s="104"/>
      <c r="AC120" s="513" t="s">
        <v>403</v>
      </c>
      <c r="AD120" s="513"/>
      <c r="AE120" s="513"/>
      <c r="AF120" s="513"/>
      <c r="AH120" s="397"/>
      <c r="AI120" s="392"/>
      <c r="AJ120" s="397"/>
    </row>
    <row r="121" spans="1:36" s="79" customFormat="1" x14ac:dyDescent="0.25">
      <c r="A121" s="378"/>
      <c r="B121" s="513" t="s">
        <v>404</v>
      </c>
      <c r="C121" s="513"/>
      <c r="D121" s="513"/>
      <c r="E121" s="513"/>
      <c r="F121" s="513"/>
      <c r="G121" s="513"/>
      <c r="H121" s="513"/>
      <c r="I121" s="513"/>
      <c r="J121" s="513"/>
      <c r="K121" s="513"/>
      <c r="L121" s="513"/>
      <c r="M121" s="396"/>
      <c r="N121" s="396"/>
      <c r="O121" s="383"/>
      <c r="P121" s="383"/>
      <c r="Q121" s="385"/>
      <c r="R121" s="386"/>
      <c r="S121" s="387"/>
      <c r="T121" s="57"/>
      <c r="U121" s="57"/>
      <c r="V121" s="104"/>
      <c r="W121" s="104"/>
      <c r="X121" s="108"/>
      <c r="Y121" s="57"/>
      <c r="Z121" s="57"/>
      <c r="AA121" s="57"/>
      <c r="AB121" s="57"/>
      <c r="AC121" s="57"/>
      <c r="AD121" s="57"/>
      <c r="AE121" s="104"/>
      <c r="AF121" s="104"/>
      <c r="AG121" s="105"/>
      <c r="AH121" s="106"/>
      <c r="AI121" s="54"/>
      <c r="AJ121" s="106"/>
    </row>
    <row r="122" spans="1:36" s="79" customFormat="1" x14ac:dyDescent="0.25">
      <c r="A122" s="378"/>
      <c r="B122" s="379"/>
      <c r="C122" s="380"/>
      <c r="D122" s="380"/>
      <c r="E122" s="380"/>
      <c r="F122" s="380"/>
      <c r="G122" s="381"/>
      <c r="H122" s="382"/>
      <c r="I122" s="383"/>
      <c r="J122" s="384"/>
      <c r="K122" s="54"/>
      <c r="L122" s="54"/>
      <c r="M122" s="54"/>
      <c r="N122" s="383"/>
      <c r="O122" s="383"/>
      <c r="P122" s="383"/>
      <c r="Q122" s="385"/>
      <c r="R122" s="386"/>
      <c r="S122" s="387"/>
      <c r="T122" s="57"/>
      <c r="U122" s="57"/>
      <c r="V122" s="104"/>
      <c r="W122" s="104"/>
      <c r="X122" s="108"/>
      <c r="Y122" s="57"/>
      <c r="Z122" s="57"/>
      <c r="AA122" s="57"/>
      <c r="AB122" s="57"/>
      <c r="AC122" s="57"/>
      <c r="AD122" s="57"/>
      <c r="AE122" s="104"/>
      <c r="AF122" s="104"/>
      <c r="AG122" s="105"/>
      <c r="AH122" s="106"/>
      <c r="AI122" s="54"/>
      <c r="AJ122" s="106"/>
    </row>
    <row r="123" spans="1:36" s="79" customFormat="1" ht="53.25" customHeight="1" x14ac:dyDescent="0.25">
      <c r="A123" s="378"/>
      <c r="B123" s="379"/>
      <c r="C123" s="380"/>
      <c r="D123" s="380"/>
      <c r="E123" s="380"/>
      <c r="F123" s="380"/>
      <c r="G123" s="381"/>
      <c r="H123" s="382"/>
      <c r="I123" s="383"/>
      <c r="J123" s="384"/>
      <c r="K123" s="54"/>
      <c r="L123" s="54"/>
      <c r="M123" s="54"/>
      <c r="N123" s="383"/>
      <c r="O123" s="383"/>
      <c r="P123" s="383"/>
      <c r="Q123" s="385"/>
      <c r="R123" s="386"/>
      <c r="S123" s="387"/>
      <c r="T123" s="57"/>
      <c r="U123" s="57"/>
      <c r="V123" s="104"/>
      <c r="W123" s="104"/>
      <c r="X123" s="108"/>
      <c r="Y123" s="57"/>
      <c r="Z123" s="57"/>
      <c r="AA123" s="57"/>
      <c r="AB123" s="57"/>
      <c r="AC123" s="57"/>
      <c r="AD123" s="57"/>
      <c r="AE123" s="104"/>
      <c r="AF123" s="104"/>
      <c r="AG123" s="105"/>
      <c r="AH123" s="106"/>
      <c r="AI123" s="54"/>
      <c r="AJ123" s="106"/>
    </row>
    <row r="124" spans="1:36" s="382" customFormat="1" ht="34.5" customHeight="1" x14ac:dyDescent="0.25">
      <c r="A124" s="378"/>
      <c r="B124" s="515" t="s">
        <v>405</v>
      </c>
      <c r="C124" s="515"/>
      <c r="D124" s="515"/>
      <c r="E124" s="515"/>
      <c r="F124" s="515"/>
      <c r="G124" s="515"/>
      <c r="H124" s="515"/>
      <c r="I124" s="515"/>
      <c r="J124" s="515"/>
      <c r="K124" s="515"/>
      <c r="L124" s="515"/>
      <c r="M124" s="396"/>
      <c r="N124" s="396"/>
      <c r="O124" s="383"/>
      <c r="P124" s="383"/>
      <c r="Q124" s="385"/>
      <c r="R124" s="386"/>
      <c r="S124" s="387"/>
      <c r="T124" s="514" t="s">
        <v>406</v>
      </c>
      <c r="U124" s="514"/>
      <c r="V124" s="514"/>
      <c r="W124" s="514"/>
      <c r="X124" s="398"/>
      <c r="Y124" s="104"/>
      <c r="Z124" s="104"/>
      <c r="AA124" s="104"/>
      <c r="AB124" s="104"/>
      <c r="AC124" s="514" t="s">
        <v>407</v>
      </c>
      <c r="AD124" s="514"/>
      <c r="AE124" s="514"/>
      <c r="AF124" s="514"/>
      <c r="AG124" s="104"/>
      <c r="AH124" s="399"/>
      <c r="AI124" s="383"/>
      <c r="AJ124" s="399"/>
    </row>
    <row r="125" spans="1:36" s="79" customFormat="1" x14ac:dyDescent="0.25">
      <c r="A125" s="378"/>
      <c r="B125" s="513" t="s">
        <v>408</v>
      </c>
      <c r="C125" s="513"/>
      <c r="D125" s="513"/>
      <c r="E125" s="513"/>
      <c r="F125" s="513"/>
      <c r="G125" s="513"/>
      <c r="H125" s="513"/>
      <c r="I125" s="513"/>
      <c r="J125" s="513"/>
      <c r="K125" s="513"/>
      <c r="L125" s="513"/>
      <c r="M125" s="396"/>
      <c r="N125" s="396"/>
      <c r="O125" s="383"/>
      <c r="P125" s="383"/>
      <c r="Q125" s="385"/>
      <c r="R125" s="386"/>
      <c r="S125" s="387"/>
      <c r="T125" s="57"/>
      <c r="U125" s="57"/>
      <c r="V125" s="245"/>
      <c r="W125" s="245"/>
      <c r="X125" s="108"/>
      <c r="Y125" s="57"/>
      <c r="Z125" s="57"/>
      <c r="AA125" s="57"/>
      <c r="AB125" s="57"/>
      <c r="AC125" s="57"/>
      <c r="AD125" s="514"/>
      <c r="AE125" s="514"/>
      <c r="AF125" s="514"/>
      <c r="AG125" s="514"/>
      <c r="AH125" s="106"/>
      <c r="AI125" s="54"/>
      <c r="AJ125" s="106"/>
    </row>
  </sheetData>
  <autoFilter ref="A8:AH115" xr:uid="{00000000-0009-0000-0000-000001000000}"/>
  <mergeCells count="94">
    <mergeCell ref="B125:L125"/>
    <mergeCell ref="T124:W124"/>
    <mergeCell ref="AC124:AF124"/>
    <mergeCell ref="AD125:AG125"/>
    <mergeCell ref="B121:L121"/>
    <mergeCell ref="B124:L124"/>
    <mergeCell ref="J118:K118"/>
    <mergeCell ref="AC118:AF118"/>
    <mergeCell ref="T119:W119"/>
    <mergeCell ref="AC119:AF119"/>
    <mergeCell ref="T120:W120"/>
    <mergeCell ref="AC120:AF120"/>
    <mergeCell ref="B119:L119"/>
    <mergeCell ref="B120:L120"/>
    <mergeCell ref="AG106:AG108"/>
    <mergeCell ref="AG109:AG115"/>
    <mergeCell ref="V5:AB5"/>
    <mergeCell ref="A1:AH1"/>
    <mergeCell ref="A2:AH2"/>
    <mergeCell ref="A3:AH3"/>
    <mergeCell ref="AH87:AH88"/>
    <mergeCell ref="AG89:AG91"/>
    <mergeCell ref="AG92:AG95"/>
    <mergeCell ref="AG96:AG98"/>
    <mergeCell ref="AG99:AG101"/>
    <mergeCell ref="AG102:AG103"/>
    <mergeCell ref="AG61:AG64"/>
    <mergeCell ref="AG65:AG69"/>
    <mergeCell ref="AG70:AG75"/>
    <mergeCell ref="AG77:AG82"/>
    <mergeCell ref="AG83:AG85"/>
    <mergeCell ref="AG86:AG88"/>
    <mergeCell ref="AG39:AG40"/>
    <mergeCell ref="AG41:AG43"/>
    <mergeCell ref="AG45:AG46"/>
    <mergeCell ref="AG47:AG49"/>
    <mergeCell ref="AG50:AG54"/>
    <mergeCell ref="AG57:AG60"/>
    <mergeCell ref="AG32:AG38"/>
    <mergeCell ref="AF5:AF7"/>
    <mergeCell ref="AG5:AG7"/>
    <mergeCell ref="AH5:AH7"/>
    <mergeCell ref="AA6:AA7"/>
    <mergeCell ref="AB6:AB7"/>
    <mergeCell ref="AG9:AG10"/>
    <mergeCell ref="AE5:AE7"/>
    <mergeCell ref="AG11:AG19"/>
    <mergeCell ref="AG20:AG23"/>
    <mergeCell ref="AG24:AG26"/>
    <mergeCell ref="AG27:AG28"/>
    <mergeCell ref="AG29:AG31"/>
    <mergeCell ref="C113:C114"/>
    <mergeCell ref="D113:D114"/>
    <mergeCell ref="E113:E114"/>
    <mergeCell ref="AC5:AC7"/>
    <mergeCell ref="AD5:AD7"/>
    <mergeCell ref="C50:C51"/>
    <mergeCell ref="D50:D51"/>
    <mergeCell ref="E50:E51"/>
    <mergeCell ref="C111:C112"/>
    <mergeCell ref="D111:D112"/>
    <mergeCell ref="E111:E112"/>
    <mergeCell ref="C9:C10"/>
    <mergeCell ref="D9:D10"/>
    <mergeCell ref="E9:E10"/>
    <mergeCell ref="F9:F10"/>
    <mergeCell ref="C15:C19"/>
    <mergeCell ref="Y6:Z6"/>
    <mergeCell ref="D15:D19"/>
    <mergeCell ref="E15:E19"/>
    <mergeCell ref="T6:T7"/>
    <mergeCell ref="U6:U7"/>
    <mergeCell ref="V6:V7"/>
    <mergeCell ref="W6:W7"/>
    <mergeCell ref="X6:X7"/>
    <mergeCell ref="T5:U5"/>
    <mergeCell ref="C6:C7"/>
    <mergeCell ref="D6:D7"/>
    <mergeCell ref="E6:E7"/>
    <mergeCell ref="F6:F7"/>
    <mergeCell ref="G6:G7"/>
    <mergeCell ref="H6:H7"/>
    <mergeCell ref="I6:I7"/>
    <mergeCell ref="J6:J7"/>
    <mergeCell ref="K6:M6"/>
    <mergeCell ref="S5:S7"/>
    <mergeCell ref="A5:A7"/>
    <mergeCell ref="B5:B7"/>
    <mergeCell ref="C5:F5"/>
    <mergeCell ref="G5:J5"/>
    <mergeCell ref="K5:R5"/>
    <mergeCell ref="N6:P6"/>
    <mergeCell ref="Q6:Q7"/>
    <mergeCell ref="R6:R7"/>
  </mergeCells>
  <pageMargins left="0.01" right="0.01" top="0.5" bottom="0.3" header="0.3" footer="0.3"/>
  <pageSetup paperSize="8" scale="80"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W33"/>
  <sheetViews>
    <sheetView workbookViewId="0">
      <selection activeCell="K8" sqref="K8"/>
    </sheetView>
  </sheetViews>
  <sheetFormatPr defaultRowHeight="15.75" x14ac:dyDescent="0.25"/>
  <cols>
    <col min="1" max="1" width="4.625" style="273" customWidth="1"/>
    <col min="2" max="2" width="26.375" style="423" customWidth="1"/>
    <col min="3" max="3" width="5.125" style="272" customWidth="1"/>
    <col min="4" max="4" width="9.5" style="274" customWidth="1"/>
    <col min="5" max="5" width="9.875" style="8" customWidth="1"/>
    <col min="6" max="6" width="8" style="455" customWidth="1"/>
    <col min="7" max="7" width="12.125" style="273" customWidth="1"/>
    <col min="8" max="8" width="16.125" style="8" customWidth="1"/>
    <col min="9" max="9" width="15" style="423" customWidth="1"/>
    <col min="10" max="10" width="15.625" style="8" customWidth="1"/>
    <col min="11" max="257" width="9" style="8"/>
    <col min="258" max="258" width="4.625" style="8" customWidth="1"/>
    <col min="259" max="259" width="33.25" style="8" customWidth="1"/>
    <col min="260" max="260" width="6.5" style="8" customWidth="1"/>
    <col min="261" max="261" width="9.5" style="8" customWidth="1"/>
    <col min="262" max="262" width="10" style="8" customWidth="1"/>
    <col min="263" max="263" width="8" style="8" customWidth="1"/>
    <col min="264" max="264" width="14.375" style="8" customWidth="1"/>
    <col min="265" max="265" width="12.75" style="8" customWidth="1"/>
    <col min="266" max="266" width="15.625" style="8" customWidth="1"/>
    <col min="267" max="513" width="9" style="8"/>
    <col min="514" max="514" width="4.625" style="8" customWidth="1"/>
    <col min="515" max="515" width="33.25" style="8" customWidth="1"/>
    <col min="516" max="516" width="6.5" style="8" customWidth="1"/>
    <col min="517" max="517" width="9.5" style="8" customWidth="1"/>
    <col min="518" max="518" width="10" style="8" customWidth="1"/>
    <col min="519" max="519" width="8" style="8" customWidth="1"/>
    <col min="520" max="520" width="14.375" style="8" customWidth="1"/>
    <col min="521" max="521" width="12.75" style="8" customWidth="1"/>
    <col min="522" max="522" width="15.625" style="8" customWidth="1"/>
    <col min="523" max="769" width="9" style="8"/>
    <col min="770" max="770" width="4.625" style="8" customWidth="1"/>
    <col min="771" max="771" width="33.25" style="8" customWidth="1"/>
    <col min="772" max="772" width="6.5" style="8" customWidth="1"/>
    <col min="773" max="773" width="9.5" style="8" customWidth="1"/>
    <col min="774" max="774" width="10" style="8" customWidth="1"/>
    <col min="775" max="775" width="8" style="8" customWidth="1"/>
    <col min="776" max="776" width="14.375" style="8" customWidth="1"/>
    <col min="777" max="777" width="12.75" style="8" customWidth="1"/>
    <col min="778" max="778" width="15.625" style="8" customWidth="1"/>
    <col min="779" max="1025" width="9" style="8"/>
    <col min="1026" max="1026" width="4.625" style="8" customWidth="1"/>
    <col min="1027" max="1027" width="33.25" style="8" customWidth="1"/>
    <col min="1028" max="1028" width="6.5" style="8" customWidth="1"/>
    <col min="1029" max="1029" width="9.5" style="8" customWidth="1"/>
    <col min="1030" max="1030" width="10" style="8" customWidth="1"/>
    <col min="1031" max="1031" width="8" style="8" customWidth="1"/>
    <col min="1032" max="1032" width="14.375" style="8" customWidth="1"/>
    <col min="1033" max="1033" width="12.75" style="8" customWidth="1"/>
    <col min="1034" max="1034" width="15.625" style="8" customWidth="1"/>
    <col min="1035" max="1281" width="9" style="8"/>
    <col min="1282" max="1282" width="4.625" style="8" customWidth="1"/>
    <col min="1283" max="1283" width="33.25" style="8" customWidth="1"/>
    <col min="1284" max="1284" width="6.5" style="8" customWidth="1"/>
    <col min="1285" max="1285" width="9.5" style="8" customWidth="1"/>
    <col min="1286" max="1286" width="10" style="8" customWidth="1"/>
    <col min="1287" max="1287" width="8" style="8" customWidth="1"/>
    <col min="1288" max="1288" width="14.375" style="8" customWidth="1"/>
    <col min="1289" max="1289" width="12.75" style="8" customWidth="1"/>
    <col min="1290" max="1290" width="15.625" style="8" customWidth="1"/>
    <col min="1291" max="1537" width="9" style="8"/>
    <col min="1538" max="1538" width="4.625" style="8" customWidth="1"/>
    <col min="1539" max="1539" width="33.25" style="8" customWidth="1"/>
    <col min="1540" max="1540" width="6.5" style="8" customWidth="1"/>
    <col min="1541" max="1541" width="9.5" style="8" customWidth="1"/>
    <col min="1542" max="1542" width="10" style="8" customWidth="1"/>
    <col min="1543" max="1543" width="8" style="8" customWidth="1"/>
    <col min="1544" max="1544" width="14.375" style="8" customWidth="1"/>
    <col min="1545" max="1545" width="12.75" style="8" customWidth="1"/>
    <col min="1546" max="1546" width="15.625" style="8" customWidth="1"/>
    <col min="1547" max="1793" width="9" style="8"/>
    <col min="1794" max="1794" width="4.625" style="8" customWidth="1"/>
    <col min="1795" max="1795" width="33.25" style="8" customWidth="1"/>
    <col min="1796" max="1796" width="6.5" style="8" customWidth="1"/>
    <col min="1797" max="1797" width="9.5" style="8" customWidth="1"/>
    <col min="1798" max="1798" width="10" style="8" customWidth="1"/>
    <col min="1799" max="1799" width="8" style="8" customWidth="1"/>
    <col min="1800" max="1800" width="14.375" style="8" customWidth="1"/>
    <col min="1801" max="1801" width="12.75" style="8" customWidth="1"/>
    <col min="1802" max="1802" width="15.625" style="8" customWidth="1"/>
    <col min="1803" max="2049" width="9" style="8"/>
    <col min="2050" max="2050" width="4.625" style="8" customWidth="1"/>
    <col min="2051" max="2051" width="33.25" style="8" customWidth="1"/>
    <col min="2052" max="2052" width="6.5" style="8" customWidth="1"/>
    <col min="2053" max="2053" width="9.5" style="8" customWidth="1"/>
    <col min="2054" max="2054" width="10" style="8" customWidth="1"/>
    <col min="2055" max="2055" width="8" style="8" customWidth="1"/>
    <col min="2056" max="2056" width="14.375" style="8" customWidth="1"/>
    <col min="2057" max="2057" width="12.75" style="8" customWidth="1"/>
    <col min="2058" max="2058" width="15.625" style="8" customWidth="1"/>
    <col min="2059" max="2305" width="9" style="8"/>
    <col min="2306" max="2306" width="4.625" style="8" customWidth="1"/>
    <col min="2307" max="2307" width="33.25" style="8" customWidth="1"/>
    <col min="2308" max="2308" width="6.5" style="8" customWidth="1"/>
    <col min="2309" max="2309" width="9.5" style="8" customWidth="1"/>
    <col min="2310" max="2310" width="10" style="8" customWidth="1"/>
    <col min="2311" max="2311" width="8" style="8" customWidth="1"/>
    <col min="2312" max="2312" width="14.375" style="8" customWidth="1"/>
    <col min="2313" max="2313" width="12.75" style="8" customWidth="1"/>
    <col min="2314" max="2314" width="15.625" style="8" customWidth="1"/>
    <col min="2315" max="2561" width="9" style="8"/>
    <col min="2562" max="2562" width="4.625" style="8" customWidth="1"/>
    <col min="2563" max="2563" width="33.25" style="8" customWidth="1"/>
    <col min="2564" max="2564" width="6.5" style="8" customWidth="1"/>
    <col min="2565" max="2565" width="9.5" style="8" customWidth="1"/>
    <col min="2566" max="2566" width="10" style="8" customWidth="1"/>
    <col min="2567" max="2567" width="8" style="8" customWidth="1"/>
    <col min="2568" max="2568" width="14.375" style="8" customWidth="1"/>
    <col min="2569" max="2569" width="12.75" style="8" customWidth="1"/>
    <col min="2570" max="2570" width="15.625" style="8" customWidth="1"/>
    <col min="2571" max="2817" width="9" style="8"/>
    <col min="2818" max="2818" width="4.625" style="8" customWidth="1"/>
    <col min="2819" max="2819" width="33.25" style="8" customWidth="1"/>
    <col min="2820" max="2820" width="6.5" style="8" customWidth="1"/>
    <col min="2821" max="2821" width="9.5" style="8" customWidth="1"/>
    <col min="2822" max="2822" width="10" style="8" customWidth="1"/>
    <col min="2823" max="2823" width="8" style="8" customWidth="1"/>
    <col min="2824" max="2824" width="14.375" style="8" customWidth="1"/>
    <col min="2825" max="2825" width="12.75" style="8" customWidth="1"/>
    <col min="2826" max="2826" width="15.625" style="8" customWidth="1"/>
    <col min="2827" max="3073" width="9" style="8"/>
    <col min="3074" max="3074" width="4.625" style="8" customWidth="1"/>
    <col min="3075" max="3075" width="33.25" style="8" customWidth="1"/>
    <col min="3076" max="3076" width="6.5" style="8" customWidth="1"/>
    <col min="3077" max="3077" width="9.5" style="8" customWidth="1"/>
    <col min="3078" max="3078" width="10" style="8" customWidth="1"/>
    <col min="3079" max="3079" width="8" style="8" customWidth="1"/>
    <col min="3080" max="3080" width="14.375" style="8" customWidth="1"/>
    <col min="3081" max="3081" width="12.75" style="8" customWidth="1"/>
    <col min="3082" max="3082" width="15.625" style="8" customWidth="1"/>
    <col min="3083" max="3329" width="9" style="8"/>
    <col min="3330" max="3330" width="4.625" style="8" customWidth="1"/>
    <col min="3331" max="3331" width="33.25" style="8" customWidth="1"/>
    <col min="3332" max="3332" width="6.5" style="8" customWidth="1"/>
    <col min="3333" max="3333" width="9.5" style="8" customWidth="1"/>
    <col min="3334" max="3334" width="10" style="8" customWidth="1"/>
    <col min="3335" max="3335" width="8" style="8" customWidth="1"/>
    <col min="3336" max="3336" width="14.375" style="8" customWidth="1"/>
    <col min="3337" max="3337" width="12.75" style="8" customWidth="1"/>
    <col min="3338" max="3338" width="15.625" style="8" customWidth="1"/>
    <col min="3339" max="3585" width="9" style="8"/>
    <col min="3586" max="3586" width="4.625" style="8" customWidth="1"/>
    <col min="3587" max="3587" width="33.25" style="8" customWidth="1"/>
    <col min="3588" max="3588" width="6.5" style="8" customWidth="1"/>
    <col min="3589" max="3589" width="9.5" style="8" customWidth="1"/>
    <col min="3590" max="3590" width="10" style="8" customWidth="1"/>
    <col min="3591" max="3591" width="8" style="8" customWidth="1"/>
    <col min="3592" max="3592" width="14.375" style="8" customWidth="1"/>
    <col min="3593" max="3593" width="12.75" style="8" customWidth="1"/>
    <col min="3594" max="3594" width="15.625" style="8" customWidth="1"/>
    <col min="3595" max="3841" width="9" style="8"/>
    <col min="3842" max="3842" width="4.625" style="8" customWidth="1"/>
    <col min="3843" max="3843" width="33.25" style="8" customWidth="1"/>
    <col min="3844" max="3844" width="6.5" style="8" customWidth="1"/>
    <col min="3845" max="3845" width="9.5" style="8" customWidth="1"/>
    <col min="3846" max="3846" width="10" style="8" customWidth="1"/>
    <col min="3847" max="3847" width="8" style="8" customWidth="1"/>
    <col min="3848" max="3848" width="14.375" style="8" customWidth="1"/>
    <col min="3849" max="3849" width="12.75" style="8" customWidth="1"/>
    <col min="3850" max="3850" width="15.625" style="8" customWidth="1"/>
    <col min="3851" max="4097" width="9" style="8"/>
    <col min="4098" max="4098" width="4.625" style="8" customWidth="1"/>
    <col min="4099" max="4099" width="33.25" style="8" customWidth="1"/>
    <col min="4100" max="4100" width="6.5" style="8" customWidth="1"/>
    <col min="4101" max="4101" width="9.5" style="8" customWidth="1"/>
    <col min="4102" max="4102" width="10" style="8" customWidth="1"/>
    <col min="4103" max="4103" width="8" style="8" customWidth="1"/>
    <col min="4104" max="4104" width="14.375" style="8" customWidth="1"/>
    <col min="4105" max="4105" width="12.75" style="8" customWidth="1"/>
    <col min="4106" max="4106" width="15.625" style="8" customWidth="1"/>
    <col min="4107" max="4353" width="9" style="8"/>
    <col min="4354" max="4354" width="4.625" style="8" customWidth="1"/>
    <col min="4355" max="4355" width="33.25" style="8" customWidth="1"/>
    <col min="4356" max="4356" width="6.5" style="8" customWidth="1"/>
    <col min="4357" max="4357" width="9.5" style="8" customWidth="1"/>
    <col min="4358" max="4358" width="10" style="8" customWidth="1"/>
    <col min="4359" max="4359" width="8" style="8" customWidth="1"/>
    <col min="4360" max="4360" width="14.375" style="8" customWidth="1"/>
    <col min="4361" max="4361" width="12.75" style="8" customWidth="1"/>
    <col min="4362" max="4362" width="15.625" style="8" customWidth="1"/>
    <col min="4363" max="4609" width="9" style="8"/>
    <col min="4610" max="4610" width="4.625" style="8" customWidth="1"/>
    <col min="4611" max="4611" width="33.25" style="8" customWidth="1"/>
    <col min="4612" max="4612" width="6.5" style="8" customWidth="1"/>
    <col min="4613" max="4613" width="9.5" style="8" customWidth="1"/>
    <col min="4614" max="4614" width="10" style="8" customWidth="1"/>
    <col min="4615" max="4615" width="8" style="8" customWidth="1"/>
    <col min="4616" max="4616" width="14.375" style="8" customWidth="1"/>
    <col min="4617" max="4617" width="12.75" style="8" customWidth="1"/>
    <col min="4618" max="4618" width="15.625" style="8" customWidth="1"/>
    <col min="4619" max="4865" width="9" style="8"/>
    <col min="4866" max="4866" width="4.625" style="8" customWidth="1"/>
    <col min="4867" max="4867" width="33.25" style="8" customWidth="1"/>
    <col min="4868" max="4868" width="6.5" style="8" customWidth="1"/>
    <col min="4869" max="4869" width="9.5" style="8" customWidth="1"/>
    <col min="4870" max="4870" width="10" style="8" customWidth="1"/>
    <col min="4871" max="4871" width="8" style="8" customWidth="1"/>
    <col min="4872" max="4872" width="14.375" style="8" customWidth="1"/>
    <col min="4873" max="4873" width="12.75" style="8" customWidth="1"/>
    <col min="4874" max="4874" width="15.625" style="8" customWidth="1"/>
    <col min="4875" max="5121" width="9" style="8"/>
    <col min="5122" max="5122" width="4.625" style="8" customWidth="1"/>
    <col min="5123" max="5123" width="33.25" style="8" customWidth="1"/>
    <col min="5124" max="5124" width="6.5" style="8" customWidth="1"/>
    <col min="5125" max="5125" width="9.5" style="8" customWidth="1"/>
    <col min="5126" max="5126" width="10" style="8" customWidth="1"/>
    <col min="5127" max="5127" width="8" style="8" customWidth="1"/>
    <col min="5128" max="5128" width="14.375" style="8" customWidth="1"/>
    <col min="5129" max="5129" width="12.75" style="8" customWidth="1"/>
    <col min="5130" max="5130" width="15.625" style="8" customWidth="1"/>
    <col min="5131" max="5377" width="9" style="8"/>
    <col min="5378" max="5378" width="4.625" style="8" customWidth="1"/>
    <col min="5379" max="5379" width="33.25" style="8" customWidth="1"/>
    <col min="5380" max="5380" width="6.5" style="8" customWidth="1"/>
    <col min="5381" max="5381" width="9.5" style="8" customWidth="1"/>
    <col min="5382" max="5382" width="10" style="8" customWidth="1"/>
    <col min="5383" max="5383" width="8" style="8" customWidth="1"/>
    <col min="5384" max="5384" width="14.375" style="8" customWidth="1"/>
    <col min="5385" max="5385" width="12.75" style="8" customWidth="1"/>
    <col min="5386" max="5386" width="15.625" style="8" customWidth="1"/>
    <col min="5387" max="5633" width="9" style="8"/>
    <col min="5634" max="5634" width="4.625" style="8" customWidth="1"/>
    <col min="5635" max="5635" width="33.25" style="8" customWidth="1"/>
    <col min="5636" max="5636" width="6.5" style="8" customWidth="1"/>
    <col min="5637" max="5637" width="9.5" style="8" customWidth="1"/>
    <col min="5638" max="5638" width="10" style="8" customWidth="1"/>
    <col min="5639" max="5639" width="8" style="8" customWidth="1"/>
    <col min="5640" max="5640" width="14.375" style="8" customWidth="1"/>
    <col min="5641" max="5641" width="12.75" style="8" customWidth="1"/>
    <col min="5642" max="5642" width="15.625" style="8" customWidth="1"/>
    <col min="5643" max="5889" width="9" style="8"/>
    <col min="5890" max="5890" width="4.625" style="8" customWidth="1"/>
    <col min="5891" max="5891" width="33.25" style="8" customWidth="1"/>
    <col min="5892" max="5892" width="6.5" style="8" customWidth="1"/>
    <col min="5893" max="5893" width="9.5" style="8" customWidth="1"/>
    <col min="5894" max="5894" width="10" style="8" customWidth="1"/>
    <col min="5895" max="5895" width="8" style="8" customWidth="1"/>
    <col min="5896" max="5896" width="14.375" style="8" customWidth="1"/>
    <col min="5897" max="5897" width="12.75" style="8" customWidth="1"/>
    <col min="5898" max="5898" width="15.625" style="8" customWidth="1"/>
    <col min="5899" max="6145" width="9" style="8"/>
    <col min="6146" max="6146" width="4.625" style="8" customWidth="1"/>
    <col min="6147" max="6147" width="33.25" style="8" customWidth="1"/>
    <col min="6148" max="6148" width="6.5" style="8" customWidth="1"/>
    <col min="6149" max="6149" width="9.5" style="8" customWidth="1"/>
    <col min="6150" max="6150" width="10" style="8" customWidth="1"/>
    <col min="6151" max="6151" width="8" style="8" customWidth="1"/>
    <col min="6152" max="6152" width="14.375" style="8" customWidth="1"/>
    <col min="6153" max="6153" width="12.75" style="8" customWidth="1"/>
    <col min="6154" max="6154" width="15.625" style="8" customWidth="1"/>
    <col min="6155" max="6401" width="9" style="8"/>
    <col min="6402" max="6402" width="4.625" style="8" customWidth="1"/>
    <col min="6403" max="6403" width="33.25" style="8" customWidth="1"/>
    <col min="6404" max="6404" width="6.5" style="8" customWidth="1"/>
    <col min="6405" max="6405" width="9.5" style="8" customWidth="1"/>
    <col min="6406" max="6406" width="10" style="8" customWidth="1"/>
    <col min="6407" max="6407" width="8" style="8" customWidth="1"/>
    <col min="6408" max="6408" width="14.375" style="8" customWidth="1"/>
    <col min="6409" max="6409" width="12.75" style="8" customWidth="1"/>
    <col min="6410" max="6410" width="15.625" style="8" customWidth="1"/>
    <col min="6411" max="6657" width="9" style="8"/>
    <col min="6658" max="6658" width="4.625" style="8" customWidth="1"/>
    <col min="6659" max="6659" width="33.25" style="8" customWidth="1"/>
    <col min="6660" max="6660" width="6.5" style="8" customWidth="1"/>
    <col min="6661" max="6661" width="9.5" style="8" customWidth="1"/>
    <col min="6662" max="6662" width="10" style="8" customWidth="1"/>
    <col min="6663" max="6663" width="8" style="8" customWidth="1"/>
    <col min="6664" max="6664" width="14.375" style="8" customWidth="1"/>
    <col min="6665" max="6665" width="12.75" style="8" customWidth="1"/>
    <col min="6666" max="6666" width="15.625" style="8" customWidth="1"/>
    <col min="6667" max="6913" width="9" style="8"/>
    <col min="6914" max="6914" width="4.625" style="8" customWidth="1"/>
    <col min="6915" max="6915" width="33.25" style="8" customWidth="1"/>
    <col min="6916" max="6916" width="6.5" style="8" customWidth="1"/>
    <col min="6917" max="6917" width="9.5" style="8" customWidth="1"/>
    <col min="6918" max="6918" width="10" style="8" customWidth="1"/>
    <col min="6919" max="6919" width="8" style="8" customWidth="1"/>
    <col min="6920" max="6920" width="14.375" style="8" customWidth="1"/>
    <col min="6921" max="6921" width="12.75" style="8" customWidth="1"/>
    <col min="6922" max="6922" width="15.625" style="8" customWidth="1"/>
    <col min="6923" max="7169" width="9" style="8"/>
    <col min="7170" max="7170" width="4.625" style="8" customWidth="1"/>
    <col min="7171" max="7171" width="33.25" style="8" customWidth="1"/>
    <col min="7172" max="7172" width="6.5" style="8" customWidth="1"/>
    <col min="7173" max="7173" width="9.5" style="8" customWidth="1"/>
    <col min="7174" max="7174" width="10" style="8" customWidth="1"/>
    <col min="7175" max="7175" width="8" style="8" customWidth="1"/>
    <col min="7176" max="7176" width="14.375" style="8" customWidth="1"/>
    <col min="7177" max="7177" width="12.75" style="8" customWidth="1"/>
    <col min="7178" max="7178" width="15.625" style="8" customWidth="1"/>
    <col min="7179" max="7425" width="9" style="8"/>
    <col min="7426" max="7426" width="4.625" style="8" customWidth="1"/>
    <col min="7427" max="7427" width="33.25" style="8" customWidth="1"/>
    <col min="7428" max="7428" width="6.5" style="8" customWidth="1"/>
    <col min="7429" max="7429" width="9.5" style="8" customWidth="1"/>
    <col min="7430" max="7430" width="10" style="8" customWidth="1"/>
    <col min="7431" max="7431" width="8" style="8" customWidth="1"/>
    <col min="7432" max="7432" width="14.375" style="8" customWidth="1"/>
    <col min="7433" max="7433" width="12.75" style="8" customWidth="1"/>
    <col min="7434" max="7434" width="15.625" style="8" customWidth="1"/>
    <col min="7435" max="7681" width="9" style="8"/>
    <col min="7682" max="7682" width="4.625" style="8" customWidth="1"/>
    <col min="7683" max="7683" width="33.25" style="8" customWidth="1"/>
    <col min="7684" max="7684" width="6.5" style="8" customWidth="1"/>
    <col min="7685" max="7685" width="9.5" style="8" customWidth="1"/>
    <col min="7686" max="7686" width="10" style="8" customWidth="1"/>
    <col min="7687" max="7687" width="8" style="8" customWidth="1"/>
    <col min="7688" max="7688" width="14.375" style="8" customWidth="1"/>
    <col min="7689" max="7689" width="12.75" style="8" customWidth="1"/>
    <col min="7690" max="7690" width="15.625" style="8" customWidth="1"/>
    <col min="7691" max="7937" width="9" style="8"/>
    <col min="7938" max="7938" width="4.625" style="8" customWidth="1"/>
    <col min="7939" max="7939" width="33.25" style="8" customWidth="1"/>
    <col min="7940" max="7940" width="6.5" style="8" customWidth="1"/>
    <col min="7941" max="7941" width="9.5" style="8" customWidth="1"/>
    <col min="7942" max="7942" width="10" style="8" customWidth="1"/>
    <col min="7943" max="7943" width="8" style="8" customWidth="1"/>
    <col min="7944" max="7944" width="14.375" style="8" customWidth="1"/>
    <col min="7945" max="7945" width="12.75" style="8" customWidth="1"/>
    <col min="7946" max="7946" width="15.625" style="8" customWidth="1"/>
    <col min="7947" max="8193" width="9" style="8"/>
    <col min="8194" max="8194" width="4.625" style="8" customWidth="1"/>
    <col min="8195" max="8195" width="33.25" style="8" customWidth="1"/>
    <col min="8196" max="8196" width="6.5" style="8" customWidth="1"/>
    <col min="8197" max="8197" width="9.5" style="8" customWidth="1"/>
    <col min="8198" max="8198" width="10" style="8" customWidth="1"/>
    <col min="8199" max="8199" width="8" style="8" customWidth="1"/>
    <col min="8200" max="8200" width="14.375" style="8" customWidth="1"/>
    <col min="8201" max="8201" width="12.75" style="8" customWidth="1"/>
    <col min="8202" max="8202" width="15.625" style="8" customWidth="1"/>
    <col min="8203" max="8449" width="9" style="8"/>
    <col min="8450" max="8450" width="4.625" style="8" customWidth="1"/>
    <col min="8451" max="8451" width="33.25" style="8" customWidth="1"/>
    <col min="8452" max="8452" width="6.5" style="8" customWidth="1"/>
    <col min="8453" max="8453" width="9.5" style="8" customWidth="1"/>
    <col min="8454" max="8454" width="10" style="8" customWidth="1"/>
    <col min="8455" max="8455" width="8" style="8" customWidth="1"/>
    <col min="8456" max="8456" width="14.375" style="8" customWidth="1"/>
    <col min="8457" max="8457" width="12.75" style="8" customWidth="1"/>
    <col min="8458" max="8458" width="15.625" style="8" customWidth="1"/>
    <col min="8459" max="8705" width="9" style="8"/>
    <col min="8706" max="8706" width="4.625" style="8" customWidth="1"/>
    <col min="8707" max="8707" width="33.25" style="8" customWidth="1"/>
    <col min="8708" max="8708" width="6.5" style="8" customWidth="1"/>
    <col min="8709" max="8709" width="9.5" style="8" customWidth="1"/>
    <col min="8710" max="8710" width="10" style="8" customWidth="1"/>
    <col min="8711" max="8711" width="8" style="8" customWidth="1"/>
    <col min="8712" max="8712" width="14.375" style="8" customWidth="1"/>
    <col min="8713" max="8713" width="12.75" style="8" customWidth="1"/>
    <col min="8714" max="8714" width="15.625" style="8" customWidth="1"/>
    <col min="8715" max="8961" width="9" style="8"/>
    <col min="8962" max="8962" width="4.625" style="8" customWidth="1"/>
    <col min="8963" max="8963" width="33.25" style="8" customWidth="1"/>
    <col min="8964" max="8964" width="6.5" style="8" customWidth="1"/>
    <col min="8965" max="8965" width="9.5" style="8" customWidth="1"/>
    <col min="8966" max="8966" width="10" style="8" customWidth="1"/>
    <col min="8967" max="8967" width="8" style="8" customWidth="1"/>
    <col min="8968" max="8968" width="14.375" style="8" customWidth="1"/>
    <col min="8969" max="8969" width="12.75" style="8" customWidth="1"/>
    <col min="8970" max="8970" width="15.625" style="8" customWidth="1"/>
    <col min="8971" max="9217" width="9" style="8"/>
    <col min="9218" max="9218" width="4.625" style="8" customWidth="1"/>
    <col min="9219" max="9219" width="33.25" style="8" customWidth="1"/>
    <col min="9220" max="9220" width="6.5" style="8" customWidth="1"/>
    <col min="9221" max="9221" width="9.5" style="8" customWidth="1"/>
    <col min="9222" max="9222" width="10" style="8" customWidth="1"/>
    <col min="9223" max="9223" width="8" style="8" customWidth="1"/>
    <col min="9224" max="9224" width="14.375" style="8" customWidth="1"/>
    <col min="9225" max="9225" width="12.75" style="8" customWidth="1"/>
    <col min="9226" max="9226" width="15.625" style="8" customWidth="1"/>
    <col min="9227" max="9473" width="9" style="8"/>
    <col min="9474" max="9474" width="4.625" style="8" customWidth="1"/>
    <col min="9475" max="9475" width="33.25" style="8" customWidth="1"/>
    <col min="9476" max="9476" width="6.5" style="8" customWidth="1"/>
    <col min="9477" max="9477" width="9.5" style="8" customWidth="1"/>
    <col min="9478" max="9478" width="10" style="8" customWidth="1"/>
    <col min="9479" max="9479" width="8" style="8" customWidth="1"/>
    <col min="9480" max="9480" width="14.375" style="8" customWidth="1"/>
    <col min="9481" max="9481" width="12.75" style="8" customWidth="1"/>
    <col min="9482" max="9482" width="15.625" style="8" customWidth="1"/>
    <col min="9483" max="9729" width="9" style="8"/>
    <col min="9730" max="9730" width="4.625" style="8" customWidth="1"/>
    <col min="9731" max="9731" width="33.25" style="8" customWidth="1"/>
    <col min="9732" max="9732" width="6.5" style="8" customWidth="1"/>
    <col min="9733" max="9733" width="9.5" style="8" customWidth="1"/>
    <col min="9734" max="9734" width="10" style="8" customWidth="1"/>
    <col min="9735" max="9735" width="8" style="8" customWidth="1"/>
    <col min="9736" max="9736" width="14.375" style="8" customWidth="1"/>
    <col min="9737" max="9737" width="12.75" style="8" customWidth="1"/>
    <col min="9738" max="9738" width="15.625" style="8" customWidth="1"/>
    <col min="9739" max="9985" width="9" style="8"/>
    <col min="9986" max="9986" width="4.625" style="8" customWidth="1"/>
    <col min="9987" max="9987" width="33.25" style="8" customWidth="1"/>
    <col min="9988" max="9988" width="6.5" style="8" customWidth="1"/>
    <col min="9989" max="9989" width="9.5" style="8" customWidth="1"/>
    <col min="9990" max="9990" width="10" style="8" customWidth="1"/>
    <col min="9991" max="9991" width="8" style="8" customWidth="1"/>
    <col min="9992" max="9992" width="14.375" style="8" customWidth="1"/>
    <col min="9993" max="9993" width="12.75" style="8" customWidth="1"/>
    <col min="9994" max="9994" width="15.625" style="8" customWidth="1"/>
    <col min="9995" max="10241" width="9" style="8"/>
    <col min="10242" max="10242" width="4.625" style="8" customWidth="1"/>
    <col min="10243" max="10243" width="33.25" style="8" customWidth="1"/>
    <col min="10244" max="10244" width="6.5" style="8" customWidth="1"/>
    <col min="10245" max="10245" width="9.5" style="8" customWidth="1"/>
    <col min="10246" max="10246" width="10" style="8" customWidth="1"/>
    <col min="10247" max="10247" width="8" style="8" customWidth="1"/>
    <col min="10248" max="10248" width="14.375" style="8" customWidth="1"/>
    <col min="10249" max="10249" width="12.75" style="8" customWidth="1"/>
    <col min="10250" max="10250" width="15.625" style="8" customWidth="1"/>
    <col min="10251" max="10497" width="9" style="8"/>
    <col min="10498" max="10498" width="4.625" style="8" customWidth="1"/>
    <col min="10499" max="10499" width="33.25" style="8" customWidth="1"/>
    <col min="10500" max="10500" width="6.5" style="8" customWidth="1"/>
    <col min="10501" max="10501" width="9.5" style="8" customWidth="1"/>
    <col min="10502" max="10502" width="10" style="8" customWidth="1"/>
    <col min="10503" max="10503" width="8" style="8" customWidth="1"/>
    <col min="10504" max="10504" width="14.375" style="8" customWidth="1"/>
    <col min="10505" max="10505" width="12.75" style="8" customWidth="1"/>
    <col min="10506" max="10506" width="15.625" style="8" customWidth="1"/>
    <col min="10507" max="10753" width="9" style="8"/>
    <col min="10754" max="10754" width="4.625" style="8" customWidth="1"/>
    <col min="10755" max="10755" width="33.25" style="8" customWidth="1"/>
    <col min="10756" max="10756" width="6.5" style="8" customWidth="1"/>
    <col min="10757" max="10757" width="9.5" style="8" customWidth="1"/>
    <col min="10758" max="10758" width="10" style="8" customWidth="1"/>
    <col min="10759" max="10759" width="8" style="8" customWidth="1"/>
    <col min="10760" max="10760" width="14.375" style="8" customWidth="1"/>
    <col min="10761" max="10761" width="12.75" style="8" customWidth="1"/>
    <col min="10762" max="10762" width="15.625" style="8" customWidth="1"/>
    <col min="10763" max="11009" width="9" style="8"/>
    <col min="11010" max="11010" width="4.625" style="8" customWidth="1"/>
    <col min="11011" max="11011" width="33.25" style="8" customWidth="1"/>
    <col min="11012" max="11012" width="6.5" style="8" customWidth="1"/>
    <col min="11013" max="11013" width="9.5" style="8" customWidth="1"/>
    <col min="11014" max="11014" width="10" style="8" customWidth="1"/>
    <col min="11015" max="11015" width="8" style="8" customWidth="1"/>
    <col min="11016" max="11016" width="14.375" style="8" customWidth="1"/>
    <col min="11017" max="11017" width="12.75" style="8" customWidth="1"/>
    <col min="11018" max="11018" width="15.625" style="8" customWidth="1"/>
    <col min="11019" max="11265" width="9" style="8"/>
    <col min="11266" max="11266" width="4.625" style="8" customWidth="1"/>
    <col min="11267" max="11267" width="33.25" style="8" customWidth="1"/>
    <col min="11268" max="11268" width="6.5" style="8" customWidth="1"/>
    <col min="11269" max="11269" width="9.5" style="8" customWidth="1"/>
    <col min="11270" max="11270" width="10" style="8" customWidth="1"/>
    <col min="11271" max="11271" width="8" style="8" customWidth="1"/>
    <col min="11272" max="11272" width="14.375" style="8" customWidth="1"/>
    <col min="11273" max="11273" width="12.75" style="8" customWidth="1"/>
    <col min="11274" max="11274" width="15.625" style="8" customWidth="1"/>
    <col min="11275" max="11521" width="9" style="8"/>
    <col min="11522" max="11522" width="4.625" style="8" customWidth="1"/>
    <col min="11523" max="11523" width="33.25" style="8" customWidth="1"/>
    <col min="11524" max="11524" width="6.5" style="8" customWidth="1"/>
    <col min="11525" max="11525" width="9.5" style="8" customWidth="1"/>
    <col min="11526" max="11526" width="10" style="8" customWidth="1"/>
    <col min="11527" max="11527" width="8" style="8" customWidth="1"/>
    <col min="11528" max="11528" width="14.375" style="8" customWidth="1"/>
    <col min="11529" max="11529" width="12.75" style="8" customWidth="1"/>
    <col min="11530" max="11530" width="15.625" style="8" customWidth="1"/>
    <col min="11531" max="11777" width="9" style="8"/>
    <col min="11778" max="11778" width="4.625" style="8" customWidth="1"/>
    <col min="11779" max="11779" width="33.25" style="8" customWidth="1"/>
    <col min="11780" max="11780" width="6.5" style="8" customWidth="1"/>
    <col min="11781" max="11781" width="9.5" style="8" customWidth="1"/>
    <col min="11782" max="11782" width="10" style="8" customWidth="1"/>
    <col min="11783" max="11783" width="8" style="8" customWidth="1"/>
    <col min="11784" max="11784" width="14.375" style="8" customWidth="1"/>
    <col min="11785" max="11785" width="12.75" style="8" customWidth="1"/>
    <col min="11786" max="11786" width="15.625" style="8" customWidth="1"/>
    <col min="11787" max="12033" width="9" style="8"/>
    <col min="12034" max="12034" width="4.625" style="8" customWidth="1"/>
    <col min="12035" max="12035" width="33.25" style="8" customWidth="1"/>
    <col min="12036" max="12036" width="6.5" style="8" customWidth="1"/>
    <col min="12037" max="12037" width="9.5" style="8" customWidth="1"/>
    <col min="12038" max="12038" width="10" style="8" customWidth="1"/>
    <col min="12039" max="12039" width="8" style="8" customWidth="1"/>
    <col min="12040" max="12040" width="14.375" style="8" customWidth="1"/>
    <col min="12041" max="12041" width="12.75" style="8" customWidth="1"/>
    <col min="12042" max="12042" width="15.625" style="8" customWidth="1"/>
    <col min="12043" max="12289" width="9" style="8"/>
    <col min="12290" max="12290" width="4.625" style="8" customWidth="1"/>
    <col min="12291" max="12291" width="33.25" style="8" customWidth="1"/>
    <col min="12292" max="12292" width="6.5" style="8" customWidth="1"/>
    <col min="12293" max="12293" width="9.5" style="8" customWidth="1"/>
    <col min="12294" max="12294" width="10" style="8" customWidth="1"/>
    <col min="12295" max="12295" width="8" style="8" customWidth="1"/>
    <col min="12296" max="12296" width="14.375" style="8" customWidth="1"/>
    <col min="12297" max="12297" width="12.75" style="8" customWidth="1"/>
    <col min="12298" max="12298" width="15.625" style="8" customWidth="1"/>
    <col min="12299" max="12545" width="9" style="8"/>
    <col min="12546" max="12546" width="4.625" style="8" customWidth="1"/>
    <col min="12547" max="12547" width="33.25" style="8" customWidth="1"/>
    <col min="12548" max="12548" width="6.5" style="8" customWidth="1"/>
    <col min="12549" max="12549" width="9.5" style="8" customWidth="1"/>
    <col min="12550" max="12550" width="10" style="8" customWidth="1"/>
    <col min="12551" max="12551" width="8" style="8" customWidth="1"/>
    <col min="12552" max="12552" width="14.375" style="8" customWidth="1"/>
    <col min="12553" max="12553" width="12.75" style="8" customWidth="1"/>
    <col min="12554" max="12554" width="15.625" style="8" customWidth="1"/>
    <col min="12555" max="12801" width="9" style="8"/>
    <col min="12802" max="12802" width="4.625" style="8" customWidth="1"/>
    <col min="12803" max="12803" width="33.25" style="8" customWidth="1"/>
    <col min="12804" max="12804" width="6.5" style="8" customWidth="1"/>
    <col min="12805" max="12805" width="9.5" style="8" customWidth="1"/>
    <col min="12806" max="12806" width="10" style="8" customWidth="1"/>
    <col min="12807" max="12807" width="8" style="8" customWidth="1"/>
    <col min="12808" max="12808" width="14.375" style="8" customWidth="1"/>
    <col min="12809" max="12809" width="12.75" style="8" customWidth="1"/>
    <col min="12810" max="12810" width="15.625" style="8" customWidth="1"/>
    <col min="12811" max="13057" width="9" style="8"/>
    <col min="13058" max="13058" width="4.625" style="8" customWidth="1"/>
    <col min="13059" max="13059" width="33.25" style="8" customWidth="1"/>
    <col min="13060" max="13060" width="6.5" style="8" customWidth="1"/>
    <col min="13061" max="13061" width="9.5" style="8" customWidth="1"/>
    <col min="13062" max="13062" width="10" style="8" customWidth="1"/>
    <col min="13063" max="13063" width="8" style="8" customWidth="1"/>
    <col min="13064" max="13064" width="14.375" style="8" customWidth="1"/>
    <col min="13065" max="13065" width="12.75" style="8" customWidth="1"/>
    <col min="13066" max="13066" width="15.625" style="8" customWidth="1"/>
    <col min="13067" max="13313" width="9" style="8"/>
    <col min="13314" max="13314" width="4.625" style="8" customWidth="1"/>
    <col min="13315" max="13315" width="33.25" style="8" customWidth="1"/>
    <col min="13316" max="13316" width="6.5" style="8" customWidth="1"/>
    <col min="13317" max="13317" width="9.5" style="8" customWidth="1"/>
    <col min="13318" max="13318" width="10" style="8" customWidth="1"/>
    <col min="13319" max="13319" width="8" style="8" customWidth="1"/>
    <col min="13320" max="13320" width="14.375" style="8" customWidth="1"/>
    <col min="13321" max="13321" width="12.75" style="8" customWidth="1"/>
    <col min="13322" max="13322" width="15.625" style="8" customWidth="1"/>
    <col min="13323" max="13569" width="9" style="8"/>
    <col min="13570" max="13570" width="4.625" style="8" customWidth="1"/>
    <col min="13571" max="13571" width="33.25" style="8" customWidth="1"/>
    <col min="13572" max="13572" width="6.5" style="8" customWidth="1"/>
    <col min="13573" max="13573" width="9.5" style="8" customWidth="1"/>
    <col min="13574" max="13574" width="10" style="8" customWidth="1"/>
    <col min="13575" max="13575" width="8" style="8" customWidth="1"/>
    <col min="13576" max="13576" width="14.375" style="8" customWidth="1"/>
    <col min="13577" max="13577" width="12.75" style="8" customWidth="1"/>
    <col min="13578" max="13578" width="15.625" style="8" customWidth="1"/>
    <col min="13579" max="13825" width="9" style="8"/>
    <col min="13826" max="13826" width="4.625" style="8" customWidth="1"/>
    <col min="13827" max="13827" width="33.25" style="8" customWidth="1"/>
    <col min="13828" max="13828" width="6.5" style="8" customWidth="1"/>
    <col min="13829" max="13829" width="9.5" style="8" customWidth="1"/>
    <col min="13830" max="13830" width="10" style="8" customWidth="1"/>
    <col min="13831" max="13831" width="8" style="8" customWidth="1"/>
    <col min="13832" max="13832" width="14.375" style="8" customWidth="1"/>
    <col min="13833" max="13833" width="12.75" style="8" customWidth="1"/>
    <col min="13834" max="13834" width="15.625" style="8" customWidth="1"/>
    <col min="13835" max="14081" width="9" style="8"/>
    <col min="14082" max="14082" width="4.625" style="8" customWidth="1"/>
    <col min="14083" max="14083" width="33.25" style="8" customWidth="1"/>
    <col min="14084" max="14084" width="6.5" style="8" customWidth="1"/>
    <col min="14085" max="14085" width="9.5" style="8" customWidth="1"/>
    <col min="14086" max="14086" width="10" style="8" customWidth="1"/>
    <col min="14087" max="14087" width="8" style="8" customWidth="1"/>
    <col min="14088" max="14088" width="14.375" style="8" customWidth="1"/>
    <col min="14089" max="14089" width="12.75" style="8" customWidth="1"/>
    <col min="14090" max="14090" width="15.625" style="8" customWidth="1"/>
    <col min="14091" max="14337" width="9" style="8"/>
    <col min="14338" max="14338" width="4.625" style="8" customWidth="1"/>
    <col min="14339" max="14339" width="33.25" style="8" customWidth="1"/>
    <col min="14340" max="14340" width="6.5" style="8" customWidth="1"/>
    <col min="14341" max="14341" width="9.5" style="8" customWidth="1"/>
    <col min="14342" max="14342" width="10" style="8" customWidth="1"/>
    <col min="14343" max="14343" width="8" style="8" customWidth="1"/>
    <col min="14344" max="14344" width="14.375" style="8" customWidth="1"/>
    <col min="14345" max="14345" width="12.75" style="8" customWidth="1"/>
    <col min="14346" max="14346" width="15.625" style="8" customWidth="1"/>
    <col min="14347" max="14593" width="9" style="8"/>
    <col min="14594" max="14594" width="4.625" style="8" customWidth="1"/>
    <col min="14595" max="14595" width="33.25" style="8" customWidth="1"/>
    <col min="14596" max="14596" width="6.5" style="8" customWidth="1"/>
    <col min="14597" max="14597" width="9.5" style="8" customWidth="1"/>
    <col min="14598" max="14598" width="10" style="8" customWidth="1"/>
    <col min="14599" max="14599" width="8" style="8" customWidth="1"/>
    <col min="14600" max="14600" width="14.375" style="8" customWidth="1"/>
    <col min="14601" max="14601" width="12.75" style="8" customWidth="1"/>
    <col min="14602" max="14602" width="15.625" style="8" customWidth="1"/>
    <col min="14603" max="14849" width="9" style="8"/>
    <col min="14850" max="14850" width="4.625" style="8" customWidth="1"/>
    <col min="14851" max="14851" width="33.25" style="8" customWidth="1"/>
    <col min="14852" max="14852" width="6.5" style="8" customWidth="1"/>
    <col min="14853" max="14853" width="9.5" style="8" customWidth="1"/>
    <col min="14854" max="14854" width="10" style="8" customWidth="1"/>
    <col min="14855" max="14855" width="8" style="8" customWidth="1"/>
    <col min="14856" max="14856" width="14.375" style="8" customWidth="1"/>
    <col min="14857" max="14857" width="12.75" style="8" customWidth="1"/>
    <col min="14858" max="14858" width="15.625" style="8" customWidth="1"/>
    <col min="14859" max="15105" width="9" style="8"/>
    <col min="15106" max="15106" width="4.625" style="8" customWidth="1"/>
    <col min="15107" max="15107" width="33.25" style="8" customWidth="1"/>
    <col min="15108" max="15108" width="6.5" style="8" customWidth="1"/>
    <col min="15109" max="15109" width="9.5" style="8" customWidth="1"/>
    <col min="15110" max="15110" width="10" style="8" customWidth="1"/>
    <col min="15111" max="15111" width="8" style="8" customWidth="1"/>
    <col min="15112" max="15112" width="14.375" style="8" customWidth="1"/>
    <col min="15113" max="15113" width="12.75" style="8" customWidth="1"/>
    <col min="15114" max="15114" width="15.625" style="8" customWidth="1"/>
    <col min="15115" max="15361" width="9" style="8"/>
    <col min="15362" max="15362" width="4.625" style="8" customWidth="1"/>
    <col min="15363" max="15363" width="33.25" style="8" customWidth="1"/>
    <col min="15364" max="15364" width="6.5" style="8" customWidth="1"/>
    <col min="15365" max="15365" width="9.5" style="8" customWidth="1"/>
    <col min="15366" max="15366" width="10" style="8" customWidth="1"/>
    <col min="15367" max="15367" width="8" style="8" customWidth="1"/>
    <col min="15368" max="15368" width="14.375" style="8" customWidth="1"/>
    <col min="15369" max="15369" width="12.75" style="8" customWidth="1"/>
    <col min="15370" max="15370" width="15.625" style="8" customWidth="1"/>
    <col min="15371" max="15617" width="9" style="8"/>
    <col min="15618" max="15618" width="4.625" style="8" customWidth="1"/>
    <col min="15619" max="15619" width="33.25" style="8" customWidth="1"/>
    <col min="15620" max="15620" width="6.5" style="8" customWidth="1"/>
    <col min="15621" max="15621" width="9.5" style="8" customWidth="1"/>
    <col min="15622" max="15622" width="10" style="8" customWidth="1"/>
    <col min="15623" max="15623" width="8" style="8" customWidth="1"/>
    <col min="15624" max="15624" width="14.375" style="8" customWidth="1"/>
    <col min="15625" max="15625" width="12.75" style="8" customWidth="1"/>
    <col min="15626" max="15626" width="15.625" style="8" customWidth="1"/>
    <col min="15627" max="15873" width="9" style="8"/>
    <col min="15874" max="15874" width="4.625" style="8" customWidth="1"/>
    <col min="15875" max="15875" width="33.25" style="8" customWidth="1"/>
    <col min="15876" max="15876" width="6.5" style="8" customWidth="1"/>
    <col min="15877" max="15877" width="9.5" style="8" customWidth="1"/>
    <col min="15878" max="15878" width="10" style="8" customWidth="1"/>
    <col min="15879" max="15879" width="8" style="8" customWidth="1"/>
    <col min="15880" max="15880" width="14.375" style="8" customWidth="1"/>
    <col min="15881" max="15881" width="12.75" style="8" customWidth="1"/>
    <col min="15882" max="15882" width="15.625" style="8" customWidth="1"/>
    <col min="15883" max="16129" width="9" style="8"/>
    <col min="16130" max="16130" width="4.625" style="8" customWidth="1"/>
    <col min="16131" max="16131" width="33.25" style="8" customWidth="1"/>
    <col min="16132" max="16132" width="6.5" style="8" customWidth="1"/>
    <col min="16133" max="16133" width="9.5" style="8" customWidth="1"/>
    <col min="16134" max="16134" width="10" style="8" customWidth="1"/>
    <col min="16135" max="16135" width="8" style="8" customWidth="1"/>
    <col min="16136" max="16136" width="14.375" style="8" customWidth="1"/>
    <col min="16137" max="16137" width="12.75" style="8" customWidth="1"/>
    <col min="16138" max="16138" width="15.625" style="8" customWidth="1"/>
    <col min="16139" max="16384" width="9" style="8"/>
  </cols>
  <sheetData>
    <row r="1" spans="1:257" ht="40.5" customHeight="1" x14ac:dyDescent="0.3">
      <c r="A1" s="516" t="s">
        <v>421</v>
      </c>
      <c r="B1" s="516"/>
      <c r="C1" s="516"/>
      <c r="D1" s="516"/>
      <c r="E1" s="516"/>
      <c r="F1" s="516"/>
      <c r="G1" s="516"/>
      <c r="H1" s="516"/>
      <c r="I1" s="422"/>
    </row>
    <row r="2" spans="1:257" x14ac:dyDescent="0.25">
      <c r="A2" s="272"/>
      <c r="F2" s="445"/>
      <c r="G2" s="272"/>
    </row>
    <row r="3" spans="1:257" ht="47.25" x14ac:dyDescent="0.25">
      <c r="A3" s="72" t="s">
        <v>327</v>
      </c>
      <c r="B3" s="426" t="s">
        <v>328</v>
      </c>
      <c r="C3" s="275" t="s">
        <v>21</v>
      </c>
      <c r="D3" s="276" t="s">
        <v>85</v>
      </c>
      <c r="E3" s="275" t="s">
        <v>18</v>
      </c>
      <c r="F3" s="277" t="s">
        <v>329</v>
      </c>
      <c r="G3" s="275" t="s">
        <v>19</v>
      </c>
      <c r="H3" s="275" t="s">
        <v>4</v>
      </c>
      <c r="I3" s="278"/>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273"/>
      <c r="AJ3" s="273"/>
      <c r="AK3" s="273"/>
      <c r="AL3" s="273"/>
      <c r="AM3" s="273"/>
      <c r="AN3" s="273"/>
      <c r="AO3" s="273"/>
      <c r="AP3" s="273"/>
      <c r="AQ3" s="273"/>
      <c r="AR3" s="273"/>
      <c r="AS3" s="273"/>
      <c r="AT3" s="273"/>
      <c r="AU3" s="273"/>
      <c r="AV3" s="273"/>
      <c r="AW3" s="273"/>
      <c r="AX3" s="273"/>
      <c r="AY3" s="273"/>
      <c r="AZ3" s="273"/>
      <c r="BA3" s="273"/>
      <c r="BB3" s="273"/>
      <c r="BC3" s="273"/>
      <c r="BD3" s="273"/>
      <c r="BE3" s="273"/>
      <c r="BF3" s="273"/>
      <c r="BG3" s="273"/>
      <c r="BH3" s="273"/>
      <c r="BI3" s="273"/>
      <c r="BJ3" s="273"/>
      <c r="BK3" s="273"/>
      <c r="BL3" s="273"/>
      <c r="BM3" s="273"/>
      <c r="BN3" s="273"/>
      <c r="BO3" s="273"/>
      <c r="BP3" s="273"/>
      <c r="BQ3" s="273"/>
      <c r="BR3" s="273"/>
      <c r="BS3" s="273"/>
      <c r="BT3" s="273"/>
      <c r="BU3" s="273"/>
      <c r="BV3" s="273"/>
      <c r="BW3" s="273"/>
      <c r="BX3" s="273"/>
      <c r="BY3" s="273"/>
      <c r="BZ3" s="273"/>
      <c r="CA3" s="273"/>
      <c r="CB3" s="273"/>
      <c r="CC3" s="273"/>
      <c r="CD3" s="273"/>
      <c r="CE3" s="273"/>
      <c r="CF3" s="273"/>
      <c r="CG3" s="273"/>
      <c r="CH3" s="273"/>
      <c r="CI3" s="273"/>
      <c r="CJ3" s="273"/>
      <c r="CK3" s="273"/>
      <c r="CL3" s="273"/>
      <c r="CM3" s="273"/>
      <c r="CN3" s="273"/>
      <c r="CO3" s="273"/>
      <c r="CP3" s="273"/>
      <c r="CQ3" s="273"/>
      <c r="CR3" s="273"/>
      <c r="CS3" s="273"/>
      <c r="CT3" s="273"/>
      <c r="CU3" s="273"/>
      <c r="CV3" s="273"/>
      <c r="CW3" s="273"/>
      <c r="CX3" s="273"/>
      <c r="CY3" s="273"/>
      <c r="CZ3" s="273"/>
      <c r="DA3" s="273"/>
      <c r="DB3" s="273"/>
      <c r="DC3" s="273"/>
      <c r="DD3" s="273"/>
      <c r="DE3" s="273"/>
      <c r="DF3" s="273"/>
      <c r="DG3" s="273"/>
      <c r="DH3" s="273"/>
      <c r="DI3" s="273"/>
      <c r="DJ3" s="273"/>
      <c r="DK3" s="273"/>
      <c r="DL3" s="273"/>
      <c r="DM3" s="273"/>
      <c r="DN3" s="273"/>
      <c r="DO3" s="273"/>
      <c r="DP3" s="273"/>
      <c r="DQ3" s="273"/>
      <c r="DR3" s="273"/>
      <c r="DS3" s="273"/>
      <c r="DT3" s="273"/>
      <c r="DU3" s="273"/>
      <c r="DV3" s="273"/>
      <c r="DW3" s="273"/>
      <c r="DX3" s="273"/>
      <c r="DY3" s="273"/>
      <c r="DZ3" s="273"/>
      <c r="EA3" s="273"/>
      <c r="EB3" s="273"/>
      <c r="EC3" s="273"/>
      <c r="ED3" s="273"/>
      <c r="EE3" s="273"/>
      <c r="EF3" s="273"/>
      <c r="EG3" s="273"/>
      <c r="EH3" s="273"/>
      <c r="EI3" s="273"/>
      <c r="EJ3" s="273"/>
      <c r="EK3" s="273"/>
      <c r="EL3" s="273"/>
      <c r="EM3" s="273"/>
      <c r="EN3" s="273"/>
      <c r="EO3" s="273"/>
      <c r="EP3" s="273"/>
      <c r="EQ3" s="273"/>
      <c r="ER3" s="273"/>
      <c r="ES3" s="273"/>
      <c r="ET3" s="273"/>
      <c r="EU3" s="273"/>
      <c r="EV3" s="273"/>
      <c r="EW3" s="273"/>
      <c r="EX3" s="273"/>
      <c r="EY3" s="273"/>
      <c r="EZ3" s="273"/>
      <c r="FA3" s="273"/>
      <c r="FB3" s="273"/>
      <c r="FC3" s="273"/>
      <c r="FD3" s="273"/>
      <c r="FE3" s="273"/>
      <c r="FF3" s="273"/>
      <c r="FG3" s="273"/>
      <c r="FH3" s="273"/>
      <c r="FI3" s="273"/>
      <c r="FJ3" s="273"/>
      <c r="FK3" s="273"/>
      <c r="FL3" s="273"/>
      <c r="FM3" s="273"/>
      <c r="FN3" s="273"/>
      <c r="FO3" s="273"/>
      <c r="FP3" s="273"/>
      <c r="FQ3" s="273"/>
      <c r="FR3" s="273"/>
      <c r="FS3" s="273"/>
      <c r="FT3" s="273"/>
      <c r="FU3" s="273"/>
      <c r="FV3" s="273"/>
      <c r="FW3" s="273"/>
      <c r="FX3" s="273"/>
      <c r="FY3" s="273"/>
      <c r="FZ3" s="273"/>
      <c r="GA3" s="273"/>
      <c r="GB3" s="273"/>
      <c r="GC3" s="273"/>
      <c r="GD3" s="273"/>
      <c r="GE3" s="273"/>
      <c r="GF3" s="273"/>
      <c r="GG3" s="273"/>
      <c r="GH3" s="273"/>
      <c r="GI3" s="273"/>
      <c r="GJ3" s="273"/>
      <c r="GK3" s="273"/>
      <c r="GL3" s="273"/>
      <c r="GM3" s="273"/>
      <c r="GN3" s="273"/>
      <c r="GO3" s="273"/>
      <c r="GP3" s="273"/>
      <c r="GQ3" s="273"/>
      <c r="GR3" s="273"/>
      <c r="GS3" s="273"/>
      <c r="GT3" s="273"/>
      <c r="GU3" s="273"/>
      <c r="GV3" s="273"/>
      <c r="GW3" s="273"/>
      <c r="GX3" s="273"/>
      <c r="GY3" s="273"/>
      <c r="GZ3" s="273"/>
      <c r="HA3" s="273"/>
      <c r="HB3" s="273"/>
      <c r="HC3" s="273"/>
      <c r="HD3" s="273"/>
      <c r="HE3" s="273"/>
      <c r="HF3" s="273"/>
      <c r="HG3" s="273"/>
      <c r="HH3" s="273"/>
      <c r="HI3" s="273"/>
      <c r="HJ3" s="273"/>
      <c r="HK3" s="273"/>
      <c r="HL3" s="273"/>
      <c r="HM3" s="273"/>
      <c r="HN3" s="273"/>
      <c r="HO3" s="273"/>
      <c r="HP3" s="273"/>
      <c r="HQ3" s="273"/>
      <c r="HR3" s="273"/>
      <c r="HS3" s="273"/>
      <c r="HT3" s="273"/>
      <c r="HU3" s="273"/>
      <c r="HV3" s="273"/>
      <c r="HW3" s="273"/>
      <c r="HX3" s="273"/>
      <c r="HY3" s="273"/>
      <c r="HZ3" s="273"/>
      <c r="IA3" s="273"/>
      <c r="IB3" s="273"/>
      <c r="IC3" s="273"/>
      <c r="ID3" s="273"/>
      <c r="IE3" s="273"/>
      <c r="IF3" s="273"/>
      <c r="IG3" s="273"/>
      <c r="IH3" s="273"/>
      <c r="II3" s="273"/>
      <c r="IJ3" s="273"/>
      <c r="IK3" s="273"/>
      <c r="IL3" s="273"/>
      <c r="IM3" s="273"/>
      <c r="IN3" s="273"/>
      <c r="IO3" s="273"/>
      <c r="IP3" s="273"/>
      <c r="IQ3" s="273"/>
      <c r="IR3" s="273"/>
      <c r="IS3" s="273"/>
      <c r="IT3" s="273"/>
      <c r="IU3" s="273"/>
      <c r="IV3" s="273"/>
      <c r="IW3" s="273"/>
    </row>
    <row r="4" spans="1:257" ht="24.95" customHeight="1" x14ac:dyDescent="0.25">
      <c r="A4" s="279">
        <v>1</v>
      </c>
      <c r="B4" s="427" t="s">
        <v>330</v>
      </c>
      <c r="C4" s="280" t="s">
        <v>24</v>
      </c>
      <c r="D4" s="281">
        <f>28575.2-311.3</f>
        <v>28263.9</v>
      </c>
      <c r="E4" s="282">
        <v>9000</v>
      </c>
      <c r="F4" s="446">
        <v>1</v>
      </c>
      <c r="G4" s="282">
        <f>D4*E4*F4</f>
        <v>254375100</v>
      </c>
      <c r="H4" s="282"/>
      <c r="I4" s="517">
        <f>G4+G5</f>
        <v>255775950</v>
      </c>
      <c r="J4" s="283"/>
      <c r="K4" s="284"/>
      <c r="L4" s="284"/>
      <c r="M4" s="284"/>
      <c r="N4" s="284"/>
      <c r="O4" s="284"/>
      <c r="P4" s="284"/>
      <c r="Q4" s="284"/>
      <c r="R4" s="284"/>
      <c r="S4" s="284"/>
      <c r="T4" s="284"/>
      <c r="U4" s="284"/>
      <c r="V4" s="284"/>
      <c r="W4" s="284"/>
      <c r="X4" s="284"/>
      <c r="Y4" s="284"/>
      <c r="Z4" s="284"/>
      <c r="AA4" s="284"/>
      <c r="AB4" s="284"/>
      <c r="AC4" s="284"/>
      <c r="AD4" s="284"/>
      <c r="AE4" s="284"/>
      <c r="AF4" s="284"/>
      <c r="AG4" s="284"/>
      <c r="AH4" s="284"/>
      <c r="AI4" s="284"/>
      <c r="AJ4" s="284"/>
      <c r="AK4" s="284"/>
      <c r="AL4" s="284"/>
      <c r="AM4" s="284"/>
      <c r="AN4" s="284"/>
      <c r="AO4" s="284"/>
      <c r="AP4" s="284"/>
      <c r="AQ4" s="284"/>
      <c r="AR4" s="284"/>
      <c r="AS4" s="284"/>
      <c r="AT4" s="284"/>
      <c r="AU4" s="284"/>
      <c r="AV4" s="284"/>
      <c r="AW4" s="284"/>
      <c r="AX4" s="284"/>
      <c r="AY4" s="284"/>
      <c r="AZ4" s="284"/>
      <c r="BA4" s="284"/>
      <c r="BB4" s="284"/>
      <c r="BC4" s="284"/>
      <c r="BD4" s="284"/>
      <c r="BE4" s="284"/>
      <c r="BF4" s="284"/>
      <c r="BG4" s="284"/>
      <c r="BH4" s="284"/>
      <c r="BI4" s="284"/>
      <c r="BJ4" s="284"/>
      <c r="BK4" s="284"/>
      <c r="BL4" s="284"/>
      <c r="BM4" s="284"/>
      <c r="BN4" s="284"/>
      <c r="BO4" s="284"/>
      <c r="BP4" s="284"/>
      <c r="BQ4" s="284"/>
      <c r="BR4" s="284"/>
      <c r="BS4" s="284"/>
      <c r="BT4" s="284"/>
      <c r="BU4" s="284"/>
      <c r="BV4" s="284"/>
      <c r="BW4" s="284"/>
      <c r="BX4" s="284"/>
      <c r="BY4" s="284"/>
      <c r="BZ4" s="284"/>
      <c r="CA4" s="284"/>
      <c r="CB4" s="284"/>
      <c r="CC4" s="284"/>
      <c r="CD4" s="284"/>
      <c r="CE4" s="284"/>
      <c r="CF4" s="284"/>
      <c r="CG4" s="284"/>
      <c r="CH4" s="284"/>
      <c r="CI4" s="284"/>
      <c r="CJ4" s="284"/>
      <c r="CK4" s="284"/>
      <c r="CL4" s="284"/>
      <c r="CM4" s="284"/>
      <c r="CN4" s="284"/>
      <c r="CO4" s="284"/>
      <c r="CP4" s="284"/>
      <c r="CQ4" s="284"/>
      <c r="CR4" s="284"/>
      <c r="CS4" s="284"/>
      <c r="CT4" s="284"/>
      <c r="CU4" s="284"/>
      <c r="CV4" s="284"/>
      <c r="CW4" s="284"/>
      <c r="CX4" s="284"/>
      <c r="CY4" s="284"/>
      <c r="CZ4" s="284"/>
      <c r="DA4" s="284"/>
      <c r="DB4" s="284"/>
      <c r="DC4" s="284"/>
      <c r="DD4" s="284"/>
      <c r="DE4" s="284"/>
      <c r="DF4" s="284"/>
      <c r="DG4" s="284"/>
      <c r="DH4" s="284"/>
      <c r="DI4" s="284"/>
      <c r="DJ4" s="284"/>
      <c r="DK4" s="284"/>
      <c r="DL4" s="284"/>
      <c r="DM4" s="284"/>
      <c r="DN4" s="284"/>
      <c r="DO4" s="284"/>
      <c r="DP4" s="284"/>
      <c r="DQ4" s="284"/>
      <c r="DR4" s="284"/>
      <c r="DS4" s="284"/>
      <c r="DT4" s="284"/>
      <c r="DU4" s="284"/>
      <c r="DV4" s="284"/>
      <c r="DW4" s="284"/>
      <c r="DX4" s="284"/>
      <c r="DY4" s="284"/>
      <c r="DZ4" s="284"/>
      <c r="EA4" s="284"/>
      <c r="EB4" s="284"/>
      <c r="EC4" s="284"/>
      <c r="ED4" s="284"/>
      <c r="EE4" s="284"/>
      <c r="EF4" s="284"/>
      <c r="EG4" s="284"/>
      <c r="EH4" s="284"/>
      <c r="EI4" s="284"/>
      <c r="EJ4" s="284"/>
      <c r="EK4" s="284"/>
      <c r="EL4" s="284"/>
      <c r="EM4" s="284"/>
      <c r="EN4" s="284"/>
      <c r="EO4" s="284"/>
      <c r="EP4" s="284"/>
      <c r="EQ4" s="284"/>
      <c r="ER4" s="284"/>
      <c r="ES4" s="284"/>
      <c r="ET4" s="284"/>
      <c r="EU4" s="284"/>
      <c r="EV4" s="284"/>
      <c r="EW4" s="284"/>
      <c r="EX4" s="284"/>
      <c r="EY4" s="284"/>
      <c r="EZ4" s="284"/>
      <c r="FA4" s="284"/>
      <c r="FB4" s="284"/>
      <c r="FC4" s="284"/>
      <c r="FD4" s="284"/>
      <c r="FE4" s="284"/>
      <c r="FF4" s="284"/>
      <c r="FG4" s="284"/>
      <c r="FH4" s="284"/>
      <c r="FI4" s="284"/>
      <c r="FJ4" s="284"/>
      <c r="FK4" s="284"/>
      <c r="FL4" s="284"/>
      <c r="FM4" s="284"/>
      <c r="FN4" s="284"/>
      <c r="FO4" s="284"/>
      <c r="FP4" s="284"/>
      <c r="FQ4" s="284"/>
      <c r="FR4" s="284"/>
      <c r="FS4" s="284"/>
      <c r="FT4" s="284"/>
      <c r="FU4" s="284"/>
      <c r="FV4" s="284"/>
      <c r="FW4" s="284"/>
      <c r="FX4" s="284"/>
      <c r="FY4" s="284"/>
      <c r="FZ4" s="284"/>
      <c r="GA4" s="284"/>
      <c r="GB4" s="284"/>
      <c r="GC4" s="284"/>
      <c r="GD4" s="284"/>
      <c r="GE4" s="284"/>
      <c r="GF4" s="284"/>
      <c r="GG4" s="284"/>
      <c r="GH4" s="284"/>
      <c r="GI4" s="284"/>
      <c r="GJ4" s="284"/>
      <c r="GK4" s="284"/>
      <c r="GL4" s="284"/>
      <c r="GM4" s="284"/>
      <c r="GN4" s="284"/>
      <c r="GO4" s="284"/>
      <c r="GP4" s="284"/>
      <c r="GQ4" s="284"/>
      <c r="GR4" s="284"/>
      <c r="GS4" s="284"/>
      <c r="GT4" s="284"/>
      <c r="GU4" s="284"/>
      <c r="GV4" s="284"/>
      <c r="GW4" s="284"/>
      <c r="GX4" s="284"/>
      <c r="GY4" s="284"/>
      <c r="GZ4" s="284"/>
      <c r="HA4" s="284"/>
      <c r="HB4" s="284"/>
      <c r="HC4" s="284"/>
      <c r="HD4" s="284"/>
      <c r="HE4" s="284"/>
      <c r="HF4" s="284"/>
      <c r="HG4" s="284"/>
      <c r="HH4" s="284"/>
      <c r="HI4" s="284"/>
      <c r="HJ4" s="284"/>
      <c r="HK4" s="284"/>
      <c r="HL4" s="284"/>
      <c r="HM4" s="284"/>
      <c r="HN4" s="284"/>
      <c r="HO4" s="284"/>
      <c r="HP4" s="284"/>
      <c r="HQ4" s="284"/>
      <c r="HR4" s="284"/>
      <c r="HS4" s="284"/>
      <c r="HT4" s="284"/>
      <c r="HU4" s="284"/>
      <c r="HV4" s="284"/>
      <c r="HW4" s="284"/>
      <c r="HX4" s="284"/>
      <c r="HY4" s="284"/>
      <c r="HZ4" s="284"/>
      <c r="IA4" s="284"/>
      <c r="IB4" s="284"/>
      <c r="IC4" s="284"/>
      <c r="ID4" s="284"/>
      <c r="IE4" s="284"/>
      <c r="IF4" s="284"/>
      <c r="IG4" s="284"/>
      <c r="IH4" s="284"/>
      <c r="II4" s="284"/>
      <c r="IJ4" s="284"/>
      <c r="IK4" s="284"/>
      <c r="IL4" s="284"/>
      <c r="IM4" s="284"/>
      <c r="IN4" s="284"/>
      <c r="IO4" s="284"/>
      <c r="IP4" s="284"/>
      <c r="IQ4" s="284"/>
      <c r="IR4" s="284"/>
      <c r="IS4" s="284"/>
      <c r="IT4" s="284"/>
      <c r="IU4" s="284"/>
      <c r="IV4" s="284"/>
      <c r="IW4" s="284"/>
    </row>
    <row r="5" spans="1:257" ht="49.5" customHeight="1" x14ac:dyDescent="0.25">
      <c r="A5" s="285">
        <v>2</v>
      </c>
      <c r="B5" s="407" t="s">
        <v>417</v>
      </c>
      <c r="C5" s="404" t="s">
        <v>24</v>
      </c>
      <c r="D5" s="405">
        <v>311.3</v>
      </c>
      <c r="E5" s="406">
        <v>9000</v>
      </c>
      <c r="F5" s="447">
        <v>0.5</v>
      </c>
      <c r="G5" s="406">
        <f>D5*E5*F5</f>
        <v>1400850</v>
      </c>
      <c r="H5" s="409" t="s">
        <v>430</v>
      </c>
      <c r="I5" s="517"/>
      <c r="J5" s="283"/>
      <c r="K5" s="284"/>
      <c r="L5" s="284"/>
      <c r="M5" s="284"/>
      <c r="N5" s="284"/>
      <c r="O5" s="284"/>
      <c r="P5" s="284"/>
      <c r="Q5" s="284"/>
      <c r="R5" s="284"/>
      <c r="S5" s="284"/>
      <c r="T5" s="284"/>
      <c r="U5" s="284"/>
      <c r="V5" s="284"/>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c r="BN5" s="284"/>
      <c r="BO5" s="284"/>
      <c r="BP5" s="284"/>
      <c r="BQ5" s="284"/>
      <c r="BR5" s="284"/>
      <c r="BS5" s="284"/>
      <c r="BT5" s="284"/>
      <c r="BU5" s="284"/>
      <c r="BV5" s="284"/>
      <c r="BW5" s="284"/>
      <c r="BX5" s="284"/>
      <c r="BY5" s="284"/>
      <c r="BZ5" s="284"/>
      <c r="CA5" s="284"/>
      <c r="CB5" s="284"/>
      <c r="CC5" s="284"/>
      <c r="CD5" s="284"/>
      <c r="CE5" s="284"/>
      <c r="CF5" s="284"/>
      <c r="CG5" s="284"/>
      <c r="CH5" s="284"/>
      <c r="CI5" s="284"/>
      <c r="CJ5" s="284"/>
      <c r="CK5" s="284"/>
      <c r="CL5" s="284"/>
      <c r="CM5" s="284"/>
      <c r="CN5" s="284"/>
      <c r="CO5" s="284"/>
      <c r="CP5" s="284"/>
      <c r="CQ5" s="284"/>
      <c r="CR5" s="284"/>
      <c r="CS5" s="284"/>
      <c r="CT5" s="284"/>
      <c r="CU5" s="284"/>
      <c r="CV5" s="284"/>
      <c r="CW5" s="284"/>
      <c r="CX5" s="284"/>
      <c r="CY5" s="284"/>
      <c r="CZ5" s="284"/>
      <c r="DA5" s="284"/>
      <c r="DB5" s="284"/>
      <c r="DC5" s="284"/>
      <c r="DD5" s="284"/>
      <c r="DE5" s="284"/>
      <c r="DF5" s="284"/>
      <c r="DG5" s="284"/>
      <c r="DH5" s="284"/>
      <c r="DI5" s="284"/>
      <c r="DJ5" s="284"/>
      <c r="DK5" s="284"/>
      <c r="DL5" s="284"/>
      <c r="DM5" s="284"/>
      <c r="DN5" s="284"/>
      <c r="DO5" s="284"/>
      <c r="DP5" s="284"/>
      <c r="DQ5" s="284"/>
      <c r="DR5" s="284"/>
      <c r="DS5" s="284"/>
      <c r="DT5" s="284"/>
      <c r="DU5" s="284"/>
      <c r="DV5" s="284"/>
      <c r="DW5" s="284"/>
      <c r="DX5" s="284"/>
      <c r="DY5" s="284"/>
      <c r="DZ5" s="284"/>
      <c r="EA5" s="284"/>
      <c r="EB5" s="284"/>
      <c r="EC5" s="284"/>
      <c r="ED5" s="284"/>
      <c r="EE5" s="284"/>
      <c r="EF5" s="284"/>
      <c r="EG5" s="284"/>
      <c r="EH5" s="284"/>
      <c r="EI5" s="284"/>
      <c r="EJ5" s="284"/>
      <c r="EK5" s="284"/>
      <c r="EL5" s="284"/>
      <c r="EM5" s="284"/>
      <c r="EN5" s="284"/>
      <c r="EO5" s="284"/>
      <c r="EP5" s="284"/>
      <c r="EQ5" s="284"/>
      <c r="ER5" s="284"/>
      <c r="ES5" s="284"/>
      <c r="ET5" s="284"/>
      <c r="EU5" s="284"/>
      <c r="EV5" s="284"/>
      <c r="EW5" s="284"/>
      <c r="EX5" s="284"/>
      <c r="EY5" s="284"/>
      <c r="EZ5" s="284"/>
      <c r="FA5" s="284"/>
      <c r="FB5" s="284"/>
      <c r="FC5" s="284"/>
      <c r="FD5" s="284"/>
      <c r="FE5" s="284"/>
      <c r="FF5" s="284"/>
      <c r="FG5" s="284"/>
      <c r="FH5" s="284"/>
      <c r="FI5" s="284"/>
      <c r="FJ5" s="284"/>
      <c r="FK5" s="284"/>
      <c r="FL5" s="284"/>
      <c r="FM5" s="284"/>
      <c r="FN5" s="284"/>
      <c r="FO5" s="284"/>
      <c r="FP5" s="284"/>
      <c r="FQ5" s="284"/>
      <c r="FR5" s="284"/>
      <c r="FS5" s="284"/>
      <c r="FT5" s="284"/>
      <c r="FU5" s="284"/>
      <c r="FV5" s="284"/>
      <c r="FW5" s="284"/>
      <c r="FX5" s="284"/>
      <c r="FY5" s="284"/>
      <c r="FZ5" s="284"/>
      <c r="GA5" s="284"/>
      <c r="GB5" s="284"/>
      <c r="GC5" s="284"/>
      <c r="GD5" s="284"/>
      <c r="GE5" s="284"/>
      <c r="GF5" s="284"/>
      <c r="GG5" s="284"/>
      <c r="GH5" s="284"/>
      <c r="GI5" s="284"/>
      <c r="GJ5" s="284"/>
      <c r="GK5" s="284"/>
      <c r="GL5" s="284"/>
      <c r="GM5" s="284"/>
      <c r="GN5" s="284"/>
      <c r="GO5" s="284"/>
      <c r="GP5" s="284"/>
      <c r="GQ5" s="284"/>
      <c r="GR5" s="284"/>
      <c r="GS5" s="284"/>
      <c r="GT5" s="284"/>
      <c r="GU5" s="284"/>
      <c r="GV5" s="284"/>
      <c r="GW5" s="284"/>
      <c r="GX5" s="284"/>
      <c r="GY5" s="284"/>
      <c r="GZ5" s="284"/>
      <c r="HA5" s="284"/>
      <c r="HB5" s="284"/>
      <c r="HC5" s="284"/>
      <c r="HD5" s="284"/>
      <c r="HE5" s="284"/>
      <c r="HF5" s="284"/>
      <c r="HG5" s="284"/>
      <c r="HH5" s="284"/>
      <c r="HI5" s="284"/>
      <c r="HJ5" s="284"/>
      <c r="HK5" s="284"/>
      <c r="HL5" s="284"/>
      <c r="HM5" s="284"/>
      <c r="HN5" s="284"/>
      <c r="HO5" s="284"/>
      <c r="HP5" s="284"/>
      <c r="HQ5" s="284"/>
      <c r="HR5" s="284"/>
      <c r="HS5" s="284"/>
      <c r="HT5" s="284"/>
      <c r="HU5" s="284"/>
      <c r="HV5" s="284"/>
      <c r="HW5" s="284"/>
      <c r="HX5" s="284"/>
      <c r="HY5" s="284"/>
      <c r="HZ5" s="284"/>
      <c r="IA5" s="284"/>
      <c r="IB5" s="284"/>
      <c r="IC5" s="284"/>
      <c r="ID5" s="284"/>
      <c r="IE5" s="284"/>
      <c r="IF5" s="284"/>
      <c r="IG5" s="284"/>
      <c r="IH5" s="284"/>
      <c r="II5" s="284"/>
      <c r="IJ5" s="284"/>
      <c r="IK5" s="284"/>
      <c r="IL5" s="284"/>
      <c r="IM5" s="284"/>
      <c r="IN5" s="284"/>
      <c r="IO5" s="284"/>
      <c r="IP5" s="284"/>
      <c r="IQ5" s="284"/>
      <c r="IR5" s="284"/>
      <c r="IS5" s="284"/>
      <c r="IT5" s="284"/>
      <c r="IU5" s="284"/>
      <c r="IV5" s="284"/>
      <c r="IW5" s="284"/>
    </row>
    <row r="6" spans="1:257" ht="33" customHeight="1" x14ac:dyDescent="0.25">
      <c r="A6" s="285">
        <v>3</v>
      </c>
      <c r="B6" s="412" t="s">
        <v>309</v>
      </c>
      <c r="C6" s="410" t="s">
        <v>24</v>
      </c>
      <c r="D6" s="411">
        <v>20</v>
      </c>
      <c r="E6" s="286">
        <v>26900</v>
      </c>
      <c r="F6" s="448">
        <v>1</v>
      </c>
      <c r="G6" s="287">
        <f>D6*E6*F6</f>
        <v>538000</v>
      </c>
      <c r="H6" s="408"/>
      <c r="I6" s="424"/>
      <c r="J6" s="283"/>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284"/>
      <c r="AP6" s="284"/>
      <c r="AQ6" s="284"/>
      <c r="AR6" s="284"/>
      <c r="AS6" s="284"/>
      <c r="AT6" s="284"/>
      <c r="AU6" s="284"/>
      <c r="AV6" s="284"/>
      <c r="AW6" s="284"/>
      <c r="AX6" s="284"/>
      <c r="AY6" s="284"/>
      <c r="AZ6" s="284"/>
      <c r="BA6" s="284"/>
      <c r="BB6" s="284"/>
      <c r="BC6" s="284"/>
      <c r="BD6" s="284"/>
      <c r="BE6" s="284"/>
      <c r="BF6" s="284"/>
      <c r="BG6" s="284"/>
      <c r="BH6" s="284"/>
      <c r="BI6" s="284"/>
      <c r="BJ6" s="284"/>
      <c r="BK6" s="284"/>
      <c r="BL6" s="284"/>
      <c r="BM6" s="284"/>
      <c r="BN6" s="284"/>
      <c r="BO6" s="284"/>
      <c r="BP6" s="284"/>
      <c r="BQ6" s="284"/>
      <c r="BR6" s="284"/>
      <c r="BS6" s="284"/>
      <c r="BT6" s="284"/>
      <c r="BU6" s="284"/>
      <c r="BV6" s="284"/>
      <c r="BW6" s="284"/>
      <c r="BX6" s="284"/>
      <c r="BY6" s="284"/>
      <c r="BZ6" s="284"/>
      <c r="CA6" s="284"/>
      <c r="CB6" s="284"/>
      <c r="CC6" s="284"/>
      <c r="CD6" s="284"/>
      <c r="CE6" s="284"/>
      <c r="CF6" s="284"/>
      <c r="CG6" s="284"/>
      <c r="CH6" s="284"/>
      <c r="CI6" s="284"/>
      <c r="CJ6" s="284"/>
      <c r="CK6" s="284"/>
      <c r="CL6" s="284"/>
      <c r="CM6" s="284"/>
      <c r="CN6" s="284"/>
      <c r="CO6" s="284"/>
      <c r="CP6" s="284"/>
      <c r="CQ6" s="284"/>
      <c r="CR6" s="284"/>
      <c r="CS6" s="284"/>
      <c r="CT6" s="284"/>
      <c r="CU6" s="284"/>
      <c r="CV6" s="284"/>
      <c r="CW6" s="284"/>
      <c r="CX6" s="284"/>
      <c r="CY6" s="284"/>
      <c r="CZ6" s="284"/>
      <c r="DA6" s="284"/>
      <c r="DB6" s="284"/>
      <c r="DC6" s="284"/>
      <c r="DD6" s="284"/>
      <c r="DE6" s="284"/>
      <c r="DF6" s="284"/>
      <c r="DG6" s="284"/>
      <c r="DH6" s="284"/>
      <c r="DI6" s="284"/>
      <c r="DJ6" s="284"/>
      <c r="DK6" s="284"/>
      <c r="DL6" s="284"/>
      <c r="DM6" s="284"/>
      <c r="DN6" s="284"/>
      <c r="DO6" s="284"/>
      <c r="DP6" s="284"/>
      <c r="DQ6" s="284"/>
      <c r="DR6" s="284"/>
      <c r="DS6" s="284"/>
      <c r="DT6" s="284"/>
      <c r="DU6" s="284"/>
      <c r="DV6" s="284"/>
      <c r="DW6" s="284"/>
      <c r="DX6" s="284"/>
      <c r="DY6" s="284"/>
      <c r="DZ6" s="284"/>
      <c r="EA6" s="284"/>
      <c r="EB6" s="284"/>
      <c r="EC6" s="284"/>
      <c r="ED6" s="284"/>
      <c r="EE6" s="284"/>
      <c r="EF6" s="284"/>
      <c r="EG6" s="284"/>
      <c r="EH6" s="284"/>
      <c r="EI6" s="284"/>
      <c r="EJ6" s="284"/>
      <c r="EK6" s="284"/>
      <c r="EL6" s="284"/>
      <c r="EM6" s="284"/>
      <c r="EN6" s="284"/>
      <c r="EO6" s="284"/>
      <c r="EP6" s="284"/>
      <c r="EQ6" s="284"/>
      <c r="ER6" s="284"/>
      <c r="ES6" s="284"/>
      <c r="ET6" s="284"/>
      <c r="EU6" s="284"/>
      <c r="EV6" s="284"/>
      <c r="EW6" s="284"/>
      <c r="EX6" s="284"/>
      <c r="EY6" s="284"/>
      <c r="EZ6" s="284"/>
      <c r="FA6" s="284"/>
      <c r="FB6" s="284"/>
      <c r="FC6" s="284"/>
      <c r="FD6" s="284"/>
      <c r="FE6" s="284"/>
      <c r="FF6" s="284"/>
      <c r="FG6" s="284"/>
      <c r="FH6" s="284"/>
      <c r="FI6" s="284"/>
      <c r="FJ6" s="284"/>
      <c r="FK6" s="284"/>
      <c r="FL6" s="284"/>
      <c r="FM6" s="284"/>
      <c r="FN6" s="284"/>
      <c r="FO6" s="284"/>
      <c r="FP6" s="284"/>
      <c r="FQ6" s="284"/>
      <c r="FR6" s="284"/>
      <c r="FS6" s="284"/>
      <c r="FT6" s="284"/>
      <c r="FU6" s="284"/>
      <c r="FV6" s="284"/>
      <c r="FW6" s="284"/>
      <c r="FX6" s="284"/>
      <c r="FY6" s="284"/>
      <c r="FZ6" s="284"/>
      <c r="GA6" s="284"/>
      <c r="GB6" s="284"/>
      <c r="GC6" s="284"/>
      <c r="GD6" s="284"/>
      <c r="GE6" s="284"/>
      <c r="GF6" s="284"/>
      <c r="GG6" s="284"/>
      <c r="GH6" s="284"/>
      <c r="GI6" s="284"/>
      <c r="GJ6" s="284"/>
      <c r="GK6" s="284"/>
      <c r="GL6" s="284"/>
      <c r="GM6" s="284"/>
      <c r="GN6" s="284"/>
      <c r="GO6" s="284"/>
      <c r="GP6" s="284"/>
      <c r="GQ6" s="284"/>
      <c r="GR6" s="284"/>
      <c r="GS6" s="284"/>
      <c r="GT6" s="284"/>
      <c r="GU6" s="284"/>
      <c r="GV6" s="284"/>
      <c r="GW6" s="284"/>
      <c r="GX6" s="284"/>
      <c r="GY6" s="284"/>
      <c r="GZ6" s="284"/>
      <c r="HA6" s="284"/>
      <c r="HB6" s="284"/>
      <c r="HC6" s="284"/>
      <c r="HD6" s="284"/>
      <c r="HE6" s="284"/>
      <c r="HF6" s="284"/>
      <c r="HG6" s="284"/>
      <c r="HH6" s="284"/>
      <c r="HI6" s="284"/>
      <c r="HJ6" s="284"/>
      <c r="HK6" s="284"/>
      <c r="HL6" s="284"/>
      <c r="HM6" s="284"/>
      <c r="HN6" s="284"/>
      <c r="HO6" s="284"/>
      <c r="HP6" s="284"/>
      <c r="HQ6" s="284"/>
      <c r="HR6" s="284"/>
      <c r="HS6" s="284"/>
      <c r="HT6" s="284"/>
      <c r="HU6" s="284"/>
      <c r="HV6" s="284"/>
      <c r="HW6" s="284"/>
      <c r="HX6" s="284"/>
      <c r="HY6" s="284"/>
      <c r="HZ6" s="284"/>
      <c r="IA6" s="284"/>
      <c r="IB6" s="284"/>
      <c r="IC6" s="284"/>
      <c r="ID6" s="284"/>
      <c r="IE6" s="284"/>
      <c r="IF6" s="284"/>
      <c r="IG6" s="284"/>
      <c r="IH6" s="284"/>
      <c r="II6" s="284"/>
      <c r="IJ6" s="284"/>
      <c r="IK6" s="284"/>
      <c r="IL6" s="284"/>
      <c r="IM6" s="284"/>
      <c r="IN6" s="284"/>
      <c r="IO6" s="284"/>
      <c r="IP6" s="284"/>
      <c r="IQ6" s="284"/>
      <c r="IR6" s="284"/>
      <c r="IS6" s="284"/>
      <c r="IT6" s="284"/>
      <c r="IU6" s="284"/>
      <c r="IV6" s="284"/>
      <c r="IW6" s="284"/>
    </row>
    <row r="7" spans="1:257" ht="71.25" customHeight="1" x14ac:dyDescent="0.25">
      <c r="A7" s="285">
        <v>4</v>
      </c>
      <c r="B7" s="412" t="s">
        <v>259</v>
      </c>
      <c r="C7" s="410" t="s">
        <v>61</v>
      </c>
      <c r="D7" s="411">
        <v>418</v>
      </c>
      <c r="E7" s="407">
        <v>34000</v>
      </c>
      <c r="F7" s="449">
        <v>0.8</v>
      </c>
      <c r="G7" s="287">
        <f>D7*E7*F7</f>
        <v>11369600</v>
      </c>
      <c r="H7" s="409" t="s">
        <v>418</v>
      </c>
      <c r="I7" s="424"/>
      <c r="J7" s="283"/>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4"/>
      <c r="AL7" s="284"/>
      <c r="AM7" s="284"/>
      <c r="AN7" s="284"/>
      <c r="AO7" s="284"/>
      <c r="AP7" s="284"/>
      <c r="AQ7" s="284"/>
      <c r="AR7" s="284"/>
      <c r="AS7" s="284"/>
      <c r="AT7" s="284"/>
      <c r="AU7" s="284"/>
      <c r="AV7" s="284"/>
      <c r="AW7" s="284"/>
      <c r="AX7" s="284"/>
      <c r="AY7" s="284"/>
      <c r="AZ7" s="284"/>
      <c r="BA7" s="284"/>
      <c r="BB7" s="284"/>
      <c r="BC7" s="284"/>
      <c r="BD7" s="284"/>
      <c r="BE7" s="284"/>
      <c r="BF7" s="284"/>
      <c r="BG7" s="284"/>
      <c r="BH7" s="284"/>
      <c r="BI7" s="284"/>
      <c r="BJ7" s="284"/>
      <c r="BK7" s="284"/>
      <c r="BL7" s="284"/>
      <c r="BM7" s="284"/>
      <c r="BN7" s="284"/>
      <c r="BO7" s="284"/>
      <c r="BP7" s="284"/>
      <c r="BQ7" s="284"/>
      <c r="BR7" s="284"/>
      <c r="BS7" s="284"/>
      <c r="BT7" s="284"/>
      <c r="BU7" s="284"/>
      <c r="BV7" s="284"/>
      <c r="BW7" s="284"/>
      <c r="BX7" s="284"/>
      <c r="BY7" s="284"/>
      <c r="BZ7" s="284"/>
      <c r="CA7" s="284"/>
      <c r="CB7" s="284"/>
      <c r="CC7" s="284"/>
      <c r="CD7" s="284"/>
      <c r="CE7" s="284"/>
      <c r="CF7" s="284"/>
      <c r="CG7" s="284"/>
      <c r="CH7" s="284"/>
      <c r="CI7" s="284"/>
      <c r="CJ7" s="284"/>
      <c r="CK7" s="284"/>
      <c r="CL7" s="284"/>
      <c r="CM7" s="284"/>
      <c r="CN7" s="284"/>
      <c r="CO7" s="284"/>
      <c r="CP7" s="284"/>
      <c r="CQ7" s="284"/>
      <c r="CR7" s="284"/>
      <c r="CS7" s="284"/>
      <c r="CT7" s="284"/>
      <c r="CU7" s="284"/>
      <c r="CV7" s="284"/>
      <c r="CW7" s="284"/>
      <c r="CX7" s="284"/>
      <c r="CY7" s="284"/>
      <c r="CZ7" s="284"/>
      <c r="DA7" s="284"/>
      <c r="DB7" s="284"/>
      <c r="DC7" s="284"/>
      <c r="DD7" s="284"/>
      <c r="DE7" s="284"/>
      <c r="DF7" s="284"/>
      <c r="DG7" s="284"/>
      <c r="DH7" s="284"/>
      <c r="DI7" s="284"/>
      <c r="DJ7" s="284"/>
      <c r="DK7" s="284"/>
      <c r="DL7" s="284"/>
      <c r="DM7" s="284"/>
      <c r="DN7" s="284"/>
      <c r="DO7" s="284"/>
      <c r="DP7" s="284"/>
      <c r="DQ7" s="284"/>
      <c r="DR7" s="284"/>
      <c r="DS7" s="284"/>
      <c r="DT7" s="284"/>
      <c r="DU7" s="284"/>
      <c r="DV7" s="284"/>
      <c r="DW7" s="284"/>
      <c r="DX7" s="284"/>
      <c r="DY7" s="284"/>
      <c r="DZ7" s="284"/>
      <c r="EA7" s="284"/>
      <c r="EB7" s="284"/>
      <c r="EC7" s="284"/>
      <c r="ED7" s="284"/>
      <c r="EE7" s="284"/>
      <c r="EF7" s="284"/>
      <c r="EG7" s="284"/>
      <c r="EH7" s="284"/>
      <c r="EI7" s="284"/>
      <c r="EJ7" s="284"/>
      <c r="EK7" s="284"/>
      <c r="EL7" s="284"/>
      <c r="EM7" s="284"/>
      <c r="EN7" s="284"/>
      <c r="EO7" s="284"/>
      <c r="EP7" s="284"/>
      <c r="EQ7" s="284"/>
      <c r="ER7" s="284"/>
      <c r="ES7" s="284"/>
      <c r="ET7" s="284"/>
      <c r="EU7" s="284"/>
      <c r="EV7" s="284"/>
      <c r="EW7" s="284"/>
      <c r="EX7" s="284"/>
      <c r="EY7" s="284"/>
      <c r="EZ7" s="284"/>
      <c r="FA7" s="284"/>
      <c r="FB7" s="284"/>
      <c r="FC7" s="284"/>
      <c r="FD7" s="284"/>
      <c r="FE7" s="284"/>
      <c r="FF7" s="284"/>
      <c r="FG7" s="284"/>
      <c r="FH7" s="284"/>
      <c r="FI7" s="284"/>
      <c r="FJ7" s="284"/>
      <c r="FK7" s="284"/>
      <c r="FL7" s="284"/>
      <c r="FM7" s="284"/>
      <c r="FN7" s="284"/>
      <c r="FO7" s="284"/>
      <c r="FP7" s="284"/>
      <c r="FQ7" s="284"/>
      <c r="FR7" s="284"/>
      <c r="FS7" s="284"/>
      <c r="FT7" s="284"/>
      <c r="FU7" s="284"/>
      <c r="FV7" s="284"/>
      <c r="FW7" s="284"/>
      <c r="FX7" s="284"/>
      <c r="FY7" s="284"/>
      <c r="FZ7" s="284"/>
      <c r="GA7" s="284"/>
      <c r="GB7" s="284"/>
      <c r="GC7" s="284"/>
      <c r="GD7" s="284"/>
      <c r="GE7" s="284"/>
      <c r="GF7" s="284"/>
      <c r="GG7" s="284"/>
      <c r="GH7" s="284"/>
      <c r="GI7" s="284"/>
      <c r="GJ7" s="284"/>
      <c r="GK7" s="284"/>
      <c r="GL7" s="284"/>
      <c r="GM7" s="284"/>
      <c r="GN7" s="284"/>
      <c r="GO7" s="284"/>
      <c r="GP7" s="284"/>
      <c r="GQ7" s="284"/>
      <c r="GR7" s="284"/>
      <c r="GS7" s="284"/>
      <c r="GT7" s="284"/>
      <c r="GU7" s="284"/>
      <c r="GV7" s="284"/>
      <c r="GW7" s="284"/>
      <c r="GX7" s="284"/>
      <c r="GY7" s="284"/>
      <c r="GZ7" s="284"/>
      <c r="HA7" s="284"/>
      <c r="HB7" s="284"/>
      <c r="HC7" s="284"/>
      <c r="HD7" s="284"/>
      <c r="HE7" s="284"/>
      <c r="HF7" s="284"/>
      <c r="HG7" s="284"/>
      <c r="HH7" s="284"/>
      <c r="HI7" s="284"/>
      <c r="HJ7" s="284"/>
      <c r="HK7" s="284"/>
      <c r="HL7" s="284"/>
      <c r="HM7" s="284"/>
      <c r="HN7" s="284"/>
      <c r="HO7" s="284"/>
      <c r="HP7" s="284"/>
      <c r="HQ7" s="284"/>
      <c r="HR7" s="284"/>
      <c r="HS7" s="284"/>
      <c r="HT7" s="284"/>
      <c r="HU7" s="284"/>
      <c r="HV7" s="284"/>
      <c r="HW7" s="284"/>
      <c r="HX7" s="284"/>
      <c r="HY7" s="284"/>
      <c r="HZ7" s="284"/>
      <c r="IA7" s="284"/>
      <c r="IB7" s="284"/>
      <c r="IC7" s="284"/>
      <c r="ID7" s="284"/>
      <c r="IE7" s="284"/>
      <c r="IF7" s="284"/>
      <c r="IG7" s="284"/>
      <c r="IH7" s="284"/>
      <c r="II7" s="284"/>
      <c r="IJ7" s="284"/>
      <c r="IK7" s="284"/>
      <c r="IL7" s="284"/>
      <c r="IM7" s="284"/>
      <c r="IN7" s="284"/>
      <c r="IO7" s="284"/>
      <c r="IP7" s="284"/>
      <c r="IQ7" s="284"/>
      <c r="IR7" s="284"/>
      <c r="IS7" s="284"/>
      <c r="IT7" s="284"/>
      <c r="IU7" s="284"/>
      <c r="IV7" s="284"/>
      <c r="IW7" s="284"/>
    </row>
    <row r="8" spans="1:257" ht="87.75" customHeight="1" x14ac:dyDescent="0.25">
      <c r="A8" s="285">
        <v>5</v>
      </c>
      <c r="B8" s="412" t="s">
        <v>259</v>
      </c>
      <c r="C8" s="404" t="s">
        <v>61</v>
      </c>
      <c r="D8" s="405">
        <v>1390</v>
      </c>
      <c r="E8" s="406">
        <f>34000*30%</f>
        <v>10200</v>
      </c>
      <c r="F8" s="447">
        <v>0.8</v>
      </c>
      <c r="G8" s="406">
        <f t="shared" ref="G8:G16" si="0">D8*E8*F8</f>
        <v>11342400</v>
      </c>
      <c r="H8" s="413" t="s">
        <v>262</v>
      </c>
      <c r="I8" s="424"/>
      <c r="J8" s="283"/>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c r="AW8" s="284"/>
      <c r="AX8" s="284"/>
      <c r="AY8" s="284"/>
      <c r="AZ8" s="284"/>
      <c r="BA8" s="284"/>
      <c r="BB8" s="284"/>
      <c r="BC8" s="284"/>
      <c r="BD8" s="284"/>
      <c r="BE8" s="284"/>
      <c r="BF8" s="284"/>
      <c r="BG8" s="284"/>
      <c r="BH8" s="284"/>
      <c r="BI8" s="284"/>
      <c r="BJ8" s="284"/>
      <c r="BK8" s="284"/>
      <c r="BL8" s="284"/>
      <c r="BM8" s="284"/>
      <c r="BN8" s="284"/>
      <c r="BO8" s="284"/>
      <c r="BP8" s="284"/>
      <c r="BQ8" s="284"/>
      <c r="BR8" s="284"/>
      <c r="BS8" s="284"/>
      <c r="BT8" s="284"/>
      <c r="BU8" s="284"/>
      <c r="BV8" s="284"/>
      <c r="BW8" s="284"/>
      <c r="BX8" s="284"/>
      <c r="BY8" s="284"/>
      <c r="BZ8" s="284"/>
      <c r="CA8" s="284"/>
      <c r="CB8" s="284"/>
      <c r="CC8" s="284"/>
      <c r="CD8" s="284"/>
      <c r="CE8" s="284"/>
      <c r="CF8" s="284"/>
      <c r="CG8" s="284"/>
      <c r="CH8" s="284"/>
      <c r="CI8" s="284"/>
      <c r="CJ8" s="284"/>
      <c r="CK8" s="284"/>
      <c r="CL8" s="284"/>
      <c r="CM8" s="284"/>
      <c r="CN8" s="284"/>
      <c r="CO8" s="284"/>
      <c r="CP8" s="284"/>
      <c r="CQ8" s="284"/>
      <c r="CR8" s="284"/>
      <c r="CS8" s="284"/>
      <c r="CT8" s="284"/>
      <c r="CU8" s="284"/>
      <c r="CV8" s="284"/>
      <c r="CW8" s="284"/>
      <c r="CX8" s="284"/>
      <c r="CY8" s="284"/>
      <c r="CZ8" s="284"/>
      <c r="DA8" s="284"/>
      <c r="DB8" s="284"/>
      <c r="DC8" s="284"/>
      <c r="DD8" s="284"/>
      <c r="DE8" s="284"/>
      <c r="DF8" s="284"/>
      <c r="DG8" s="284"/>
      <c r="DH8" s="284"/>
      <c r="DI8" s="284"/>
      <c r="DJ8" s="284"/>
      <c r="DK8" s="284"/>
      <c r="DL8" s="284"/>
      <c r="DM8" s="284"/>
      <c r="DN8" s="284"/>
      <c r="DO8" s="284"/>
      <c r="DP8" s="284"/>
      <c r="DQ8" s="284"/>
      <c r="DR8" s="284"/>
      <c r="DS8" s="284"/>
      <c r="DT8" s="284"/>
      <c r="DU8" s="284"/>
      <c r="DV8" s="284"/>
      <c r="DW8" s="284"/>
      <c r="DX8" s="284"/>
      <c r="DY8" s="284"/>
      <c r="DZ8" s="284"/>
      <c r="EA8" s="284"/>
      <c r="EB8" s="284"/>
      <c r="EC8" s="284"/>
      <c r="ED8" s="284"/>
      <c r="EE8" s="284"/>
      <c r="EF8" s="284"/>
      <c r="EG8" s="284"/>
      <c r="EH8" s="284"/>
      <c r="EI8" s="284"/>
      <c r="EJ8" s="284"/>
      <c r="EK8" s="284"/>
      <c r="EL8" s="284"/>
      <c r="EM8" s="284"/>
      <c r="EN8" s="284"/>
      <c r="EO8" s="284"/>
      <c r="EP8" s="284"/>
      <c r="EQ8" s="284"/>
      <c r="ER8" s="284"/>
      <c r="ES8" s="284"/>
      <c r="ET8" s="284"/>
      <c r="EU8" s="284"/>
      <c r="EV8" s="284"/>
      <c r="EW8" s="284"/>
      <c r="EX8" s="284"/>
      <c r="EY8" s="284"/>
      <c r="EZ8" s="284"/>
      <c r="FA8" s="284"/>
      <c r="FB8" s="284"/>
      <c r="FC8" s="284"/>
      <c r="FD8" s="284"/>
      <c r="FE8" s="284"/>
      <c r="FF8" s="284"/>
      <c r="FG8" s="284"/>
      <c r="FH8" s="284"/>
      <c r="FI8" s="284"/>
      <c r="FJ8" s="284"/>
      <c r="FK8" s="284"/>
      <c r="FL8" s="284"/>
      <c r="FM8" s="284"/>
      <c r="FN8" s="284"/>
      <c r="FO8" s="284"/>
      <c r="FP8" s="284"/>
      <c r="FQ8" s="284"/>
      <c r="FR8" s="284"/>
      <c r="FS8" s="284"/>
      <c r="FT8" s="284"/>
      <c r="FU8" s="284"/>
      <c r="FV8" s="284"/>
      <c r="FW8" s="284"/>
      <c r="FX8" s="284"/>
      <c r="FY8" s="284"/>
      <c r="FZ8" s="284"/>
      <c r="GA8" s="284"/>
      <c r="GB8" s="284"/>
      <c r="GC8" s="284"/>
      <c r="GD8" s="284"/>
      <c r="GE8" s="284"/>
      <c r="GF8" s="284"/>
      <c r="GG8" s="284"/>
      <c r="GH8" s="284"/>
      <c r="GI8" s="284"/>
      <c r="GJ8" s="284"/>
      <c r="GK8" s="284"/>
      <c r="GL8" s="284"/>
      <c r="GM8" s="284"/>
      <c r="GN8" s="284"/>
      <c r="GO8" s="284"/>
      <c r="GP8" s="284"/>
      <c r="GQ8" s="284"/>
      <c r="GR8" s="284"/>
      <c r="GS8" s="284"/>
      <c r="GT8" s="284"/>
      <c r="GU8" s="284"/>
      <c r="GV8" s="284"/>
      <c r="GW8" s="284"/>
      <c r="GX8" s="284"/>
      <c r="GY8" s="284"/>
      <c r="GZ8" s="284"/>
      <c r="HA8" s="284"/>
      <c r="HB8" s="284"/>
      <c r="HC8" s="284"/>
      <c r="HD8" s="284"/>
      <c r="HE8" s="284"/>
      <c r="HF8" s="284"/>
      <c r="HG8" s="284"/>
      <c r="HH8" s="284"/>
      <c r="HI8" s="284"/>
      <c r="HJ8" s="284"/>
      <c r="HK8" s="284"/>
      <c r="HL8" s="284"/>
      <c r="HM8" s="284"/>
      <c r="HN8" s="284"/>
      <c r="HO8" s="284"/>
      <c r="HP8" s="284"/>
      <c r="HQ8" s="284"/>
      <c r="HR8" s="284"/>
      <c r="HS8" s="284"/>
      <c r="HT8" s="284"/>
      <c r="HU8" s="284"/>
      <c r="HV8" s="284"/>
      <c r="HW8" s="284"/>
      <c r="HX8" s="284"/>
      <c r="HY8" s="284"/>
      <c r="HZ8" s="284"/>
      <c r="IA8" s="284"/>
      <c r="IB8" s="284"/>
      <c r="IC8" s="284"/>
      <c r="ID8" s="284"/>
      <c r="IE8" s="284"/>
      <c r="IF8" s="284"/>
      <c r="IG8" s="284"/>
      <c r="IH8" s="284"/>
      <c r="II8" s="284"/>
      <c r="IJ8" s="284"/>
      <c r="IK8" s="284"/>
      <c r="IL8" s="284"/>
      <c r="IM8" s="284"/>
      <c r="IN8" s="284"/>
      <c r="IO8" s="284"/>
      <c r="IP8" s="284"/>
      <c r="IQ8" s="284"/>
      <c r="IR8" s="284"/>
      <c r="IS8" s="284"/>
      <c r="IT8" s="284"/>
      <c r="IU8" s="284"/>
      <c r="IV8" s="284"/>
      <c r="IW8" s="284"/>
    </row>
    <row r="9" spans="1:257" ht="54" customHeight="1" x14ac:dyDescent="0.25">
      <c r="A9" s="285">
        <v>6</v>
      </c>
      <c r="B9" s="412" t="s">
        <v>322</v>
      </c>
      <c r="C9" s="410" t="s">
        <v>61</v>
      </c>
      <c r="D9" s="411">
        <v>45</v>
      </c>
      <c r="E9" s="286">
        <v>40000</v>
      </c>
      <c r="F9" s="448">
        <v>0.8</v>
      </c>
      <c r="G9" s="287">
        <f t="shared" si="0"/>
        <v>1440000</v>
      </c>
      <c r="H9" s="409"/>
      <c r="I9" s="424"/>
      <c r="J9" s="283"/>
      <c r="K9" s="284"/>
      <c r="L9" s="284"/>
      <c r="M9" s="284"/>
      <c r="N9" s="284"/>
      <c r="O9" s="284"/>
      <c r="P9" s="284"/>
      <c r="Q9" s="284"/>
      <c r="R9" s="284"/>
      <c r="S9" s="284"/>
      <c r="T9" s="284"/>
      <c r="U9" s="284"/>
      <c r="V9" s="284"/>
      <c r="W9" s="284"/>
      <c r="X9" s="284"/>
      <c r="Y9" s="284"/>
      <c r="Z9" s="284"/>
      <c r="AA9" s="284"/>
      <c r="AB9" s="284"/>
      <c r="AC9" s="284"/>
      <c r="AD9" s="284"/>
      <c r="AE9" s="284"/>
      <c r="AF9" s="284"/>
      <c r="AG9" s="284"/>
      <c r="AH9" s="284"/>
      <c r="AI9" s="284"/>
      <c r="AJ9" s="284"/>
      <c r="AK9" s="284"/>
      <c r="AL9" s="284"/>
      <c r="AM9" s="284"/>
      <c r="AN9" s="284"/>
      <c r="AO9" s="284"/>
      <c r="AP9" s="284"/>
      <c r="AQ9" s="284"/>
      <c r="AR9" s="284"/>
      <c r="AS9" s="284"/>
      <c r="AT9" s="284"/>
      <c r="AU9" s="284"/>
      <c r="AV9" s="284"/>
      <c r="AW9" s="284"/>
      <c r="AX9" s="284"/>
      <c r="AY9" s="284"/>
      <c r="AZ9" s="284"/>
      <c r="BA9" s="284"/>
      <c r="BB9" s="284"/>
      <c r="BC9" s="284"/>
      <c r="BD9" s="284"/>
      <c r="BE9" s="284"/>
      <c r="BF9" s="284"/>
      <c r="BG9" s="284"/>
      <c r="BH9" s="284"/>
      <c r="BI9" s="284"/>
      <c r="BJ9" s="284"/>
      <c r="BK9" s="284"/>
      <c r="BL9" s="284"/>
      <c r="BM9" s="284"/>
      <c r="BN9" s="284"/>
      <c r="BO9" s="284"/>
      <c r="BP9" s="284"/>
      <c r="BQ9" s="284"/>
      <c r="BR9" s="284"/>
      <c r="BS9" s="284"/>
      <c r="BT9" s="284"/>
      <c r="BU9" s="284"/>
      <c r="BV9" s="284"/>
      <c r="BW9" s="284"/>
      <c r="BX9" s="284"/>
      <c r="BY9" s="284"/>
      <c r="BZ9" s="284"/>
      <c r="CA9" s="284"/>
      <c r="CB9" s="284"/>
      <c r="CC9" s="284"/>
      <c r="CD9" s="284"/>
      <c r="CE9" s="284"/>
      <c r="CF9" s="284"/>
      <c r="CG9" s="284"/>
      <c r="CH9" s="284"/>
      <c r="CI9" s="284"/>
      <c r="CJ9" s="284"/>
      <c r="CK9" s="284"/>
      <c r="CL9" s="284"/>
      <c r="CM9" s="284"/>
      <c r="CN9" s="284"/>
      <c r="CO9" s="284"/>
      <c r="CP9" s="284"/>
      <c r="CQ9" s="284"/>
      <c r="CR9" s="284"/>
      <c r="CS9" s="284"/>
      <c r="CT9" s="284"/>
      <c r="CU9" s="284"/>
      <c r="CV9" s="284"/>
      <c r="CW9" s="284"/>
      <c r="CX9" s="284"/>
      <c r="CY9" s="284"/>
      <c r="CZ9" s="284"/>
      <c r="DA9" s="284"/>
      <c r="DB9" s="284"/>
      <c r="DC9" s="284"/>
      <c r="DD9" s="284"/>
      <c r="DE9" s="284"/>
      <c r="DF9" s="284"/>
      <c r="DG9" s="284"/>
      <c r="DH9" s="284"/>
      <c r="DI9" s="284"/>
      <c r="DJ9" s="284"/>
      <c r="DK9" s="284"/>
      <c r="DL9" s="284"/>
      <c r="DM9" s="284"/>
      <c r="DN9" s="284"/>
      <c r="DO9" s="284"/>
      <c r="DP9" s="284"/>
      <c r="DQ9" s="284"/>
      <c r="DR9" s="284"/>
      <c r="DS9" s="284"/>
      <c r="DT9" s="284"/>
      <c r="DU9" s="284"/>
      <c r="DV9" s="284"/>
      <c r="DW9" s="284"/>
      <c r="DX9" s="284"/>
      <c r="DY9" s="284"/>
      <c r="DZ9" s="284"/>
      <c r="EA9" s="284"/>
      <c r="EB9" s="284"/>
      <c r="EC9" s="284"/>
      <c r="ED9" s="284"/>
      <c r="EE9" s="284"/>
      <c r="EF9" s="284"/>
      <c r="EG9" s="284"/>
      <c r="EH9" s="284"/>
      <c r="EI9" s="284"/>
      <c r="EJ9" s="284"/>
      <c r="EK9" s="284"/>
      <c r="EL9" s="284"/>
      <c r="EM9" s="284"/>
      <c r="EN9" s="284"/>
      <c r="EO9" s="284"/>
      <c r="EP9" s="284"/>
      <c r="EQ9" s="284"/>
      <c r="ER9" s="284"/>
      <c r="ES9" s="284"/>
      <c r="ET9" s="284"/>
      <c r="EU9" s="284"/>
      <c r="EV9" s="284"/>
      <c r="EW9" s="284"/>
      <c r="EX9" s="284"/>
      <c r="EY9" s="284"/>
      <c r="EZ9" s="284"/>
      <c r="FA9" s="284"/>
      <c r="FB9" s="284"/>
      <c r="FC9" s="284"/>
      <c r="FD9" s="284"/>
      <c r="FE9" s="284"/>
      <c r="FF9" s="284"/>
      <c r="FG9" s="284"/>
      <c r="FH9" s="284"/>
      <c r="FI9" s="284"/>
      <c r="FJ9" s="284"/>
      <c r="FK9" s="284"/>
      <c r="FL9" s="284"/>
      <c r="FM9" s="284"/>
      <c r="FN9" s="284"/>
      <c r="FO9" s="284"/>
      <c r="FP9" s="284"/>
      <c r="FQ9" s="284"/>
      <c r="FR9" s="284"/>
      <c r="FS9" s="284"/>
      <c r="FT9" s="284"/>
      <c r="FU9" s="284"/>
      <c r="FV9" s="284"/>
      <c r="FW9" s="284"/>
      <c r="FX9" s="284"/>
      <c r="FY9" s="284"/>
      <c r="FZ9" s="284"/>
      <c r="GA9" s="284"/>
      <c r="GB9" s="284"/>
      <c r="GC9" s="284"/>
      <c r="GD9" s="284"/>
      <c r="GE9" s="284"/>
      <c r="GF9" s="284"/>
      <c r="GG9" s="284"/>
      <c r="GH9" s="284"/>
      <c r="GI9" s="284"/>
      <c r="GJ9" s="284"/>
      <c r="GK9" s="284"/>
      <c r="GL9" s="284"/>
      <c r="GM9" s="284"/>
      <c r="GN9" s="284"/>
      <c r="GO9" s="284"/>
      <c r="GP9" s="284"/>
      <c r="GQ9" s="284"/>
      <c r="GR9" s="284"/>
      <c r="GS9" s="284"/>
      <c r="GT9" s="284"/>
      <c r="GU9" s="284"/>
      <c r="GV9" s="284"/>
      <c r="GW9" s="284"/>
      <c r="GX9" s="284"/>
      <c r="GY9" s="284"/>
      <c r="GZ9" s="284"/>
      <c r="HA9" s="284"/>
      <c r="HB9" s="284"/>
      <c r="HC9" s="284"/>
      <c r="HD9" s="284"/>
      <c r="HE9" s="284"/>
      <c r="HF9" s="284"/>
      <c r="HG9" s="284"/>
      <c r="HH9" s="284"/>
      <c r="HI9" s="284"/>
      <c r="HJ9" s="284"/>
      <c r="HK9" s="284"/>
      <c r="HL9" s="284"/>
      <c r="HM9" s="284"/>
      <c r="HN9" s="284"/>
      <c r="HO9" s="284"/>
      <c r="HP9" s="284"/>
      <c r="HQ9" s="284"/>
      <c r="HR9" s="284"/>
      <c r="HS9" s="284"/>
      <c r="HT9" s="284"/>
      <c r="HU9" s="284"/>
      <c r="HV9" s="284"/>
      <c r="HW9" s="284"/>
      <c r="HX9" s="284"/>
      <c r="HY9" s="284"/>
      <c r="HZ9" s="284"/>
      <c r="IA9" s="284"/>
      <c r="IB9" s="284"/>
      <c r="IC9" s="284"/>
      <c r="ID9" s="284"/>
      <c r="IE9" s="284"/>
      <c r="IF9" s="284"/>
      <c r="IG9" s="284"/>
      <c r="IH9" s="284"/>
      <c r="II9" s="284"/>
      <c r="IJ9" s="284"/>
      <c r="IK9" s="284"/>
      <c r="IL9" s="284"/>
      <c r="IM9" s="284"/>
      <c r="IN9" s="284"/>
      <c r="IO9" s="284"/>
      <c r="IP9" s="284"/>
      <c r="IQ9" s="284"/>
      <c r="IR9" s="284"/>
      <c r="IS9" s="284"/>
      <c r="IT9" s="284"/>
      <c r="IU9" s="284"/>
      <c r="IV9" s="284"/>
      <c r="IW9" s="284"/>
    </row>
    <row r="10" spans="1:257" ht="22.5" customHeight="1" x14ac:dyDescent="0.25">
      <c r="A10" s="285">
        <v>7</v>
      </c>
      <c r="B10" s="412" t="s">
        <v>420</v>
      </c>
      <c r="C10" s="410" t="s">
        <v>24</v>
      </c>
      <c r="D10" s="411">
        <v>281.2</v>
      </c>
      <c r="E10" s="286">
        <v>41000</v>
      </c>
      <c r="F10" s="448">
        <v>1</v>
      </c>
      <c r="G10" s="287">
        <f t="shared" si="0"/>
        <v>11529200</v>
      </c>
      <c r="H10" s="409"/>
      <c r="I10" s="424"/>
      <c r="J10" s="283"/>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c r="BT10" s="284"/>
      <c r="BU10" s="284"/>
      <c r="BV10" s="284"/>
      <c r="BW10" s="284"/>
      <c r="BX10" s="284"/>
      <c r="BY10" s="284"/>
      <c r="BZ10" s="284"/>
      <c r="CA10" s="284"/>
      <c r="CB10" s="284"/>
      <c r="CC10" s="284"/>
      <c r="CD10" s="284"/>
      <c r="CE10" s="284"/>
      <c r="CF10" s="284"/>
      <c r="CG10" s="284"/>
      <c r="CH10" s="284"/>
      <c r="CI10" s="284"/>
      <c r="CJ10" s="284"/>
      <c r="CK10" s="284"/>
      <c r="CL10" s="284"/>
      <c r="CM10" s="284"/>
      <c r="CN10" s="284"/>
      <c r="CO10" s="284"/>
      <c r="CP10" s="284"/>
      <c r="CQ10" s="284"/>
      <c r="CR10" s="284"/>
      <c r="CS10" s="284"/>
      <c r="CT10" s="284"/>
      <c r="CU10" s="284"/>
      <c r="CV10" s="284"/>
      <c r="CW10" s="284"/>
      <c r="CX10" s="284"/>
      <c r="CY10" s="284"/>
      <c r="CZ10" s="284"/>
      <c r="DA10" s="284"/>
      <c r="DB10" s="284"/>
      <c r="DC10" s="284"/>
      <c r="DD10" s="284"/>
      <c r="DE10" s="284"/>
      <c r="DF10" s="284"/>
      <c r="DG10" s="284"/>
      <c r="DH10" s="284"/>
      <c r="DI10" s="284"/>
      <c r="DJ10" s="284"/>
      <c r="DK10" s="284"/>
      <c r="DL10" s="284"/>
      <c r="DM10" s="284"/>
      <c r="DN10" s="284"/>
      <c r="DO10" s="284"/>
      <c r="DP10" s="284"/>
      <c r="DQ10" s="284"/>
      <c r="DR10" s="284"/>
      <c r="DS10" s="284"/>
      <c r="DT10" s="284"/>
      <c r="DU10" s="284"/>
      <c r="DV10" s="284"/>
      <c r="DW10" s="284"/>
      <c r="DX10" s="284"/>
      <c r="DY10" s="284"/>
      <c r="DZ10" s="284"/>
      <c r="EA10" s="284"/>
      <c r="EB10" s="284"/>
      <c r="EC10" s="284"/>
      <c r="ED10" s="284"/>
      <c r="EE10" s="284"/>
      <c r="EF10" s="284"/>
      <c r="EG10" s="284"/>
      <c r="EH10" s="284"/>
      <c r="EI10" s="284"/>
      <c r="EJ10" s="284"/>
      <c r="EK10" s="284"/>
      <c r="EL10" s="284"/>
      <c r="EM10" s="284"/>
      <c r="EN10" s="284"/>
      <c r="EO10" s="284"/>
      <c r="EP10" s="284"/>
      <c r="EQ10" s="284"/>
      <c r="ER10" s="284"/>
      <c r="ES10" s="284"/>
      <c r="ET10" s="284"/>
      <c r="EU10" s="284"/>
      <c r="EV10" s="284"/>
      <c r="EW10" s="284"/>
      <c r="EX10" s="284"/>
      <c r="EY10" s="284"/>
      <c r="EZ10" s="284"/>
      <c r="FA10" s="284"/>
      <c r="FB10" s="284"/>
      <c r="FC10" s="284"/>
      <c r="FD10" s="284"/>
      <c r="FE10" s="284"/>
      <c r="FF10" s="284"/>
      <c r="FG10" s="284"/>
      <c r="FH10" s="284"/>
      <c r="FI10" s="284"/>
      <c r="FJ10" s="284"/>
      <c r="FK10" s="284"/>
      <c r="FL10" s="284"/>
      <c r="FM10" s="284"/>
      <c r="FN10" s="284"/>
      <c r="FO10" s="284"/>
      <c r="FP10" s="284"/>
      <c r="FQ10" s="284"/>
      <c r="FR10" s="284"/>
      <c r="FS10" s="284"/>
      <c r="FT10" s="284"/>
      <c r="FU10" s="284"/>
      <c r="FV10" s="284"/>
      <c r="FW10" s="284"/>
      <c r="FX10" s="284"/>
      <c r="FY10" s="284"/>
      <c r="FZ10" s="284"/>
      <c r="GA10" s="284"/>
      <c r="GB10" s="284"/>
      <c r="GC10" s="284"/>
      <c r="GD10" s="284"/>
      <c r="GE10" s="284"/>
      <c r="GF10" s="284"/>
      <c r="GG10" s="284"/>
      <c r="GH10" s="284"/>
      <c r="GI10" s="284"/>
      <c r="GJ10" s="284"/>
      <c r="GK10" s="284"/>
      <c r="GL10" s="284"/>
      <c r="GM10" s="284"/>
      <c r="GN10" s="284"/>
      <c r="GO10" s="284"/>
      <c r="GP10" s="284"/>
      <c r="GQ10" s="284"/>
      <c r="GR10" s="284"/>
      <c r="GS10" s="284"/>
      <c r="GT10" s="284"/>
      <c r="GU10" s="284"/>
      <c r="GV10" s="284"/>
      <c r="GW10" s="284"/>
      <c r="GX10" s="284"/>
      <c r="GY10" s="284"/>
      <c r="GZ10" s="284"/>
      <c r="HA10" s="284"/>
      <c r="HB10" s="284"/>
      <c r="HC10" s="284"/>
      <c r="HD10" s="284"/>
      <c r="HE10" s="284"/>
      <c r="HF10" s="284"/>
      <c r="HG10" s="284"/>
      <c r="HH10" s="284"/>
      <c r="HI10" s="284"/>
      <c r="HJ10" s="284"/>
      <c r="HK10" s="284"/>
      <c r="HL10" s="284"/>
      <c r="HM10" s="284"/>
      <c r="HN10" s="284"/>
      <c r="HO10" s="284"/>
      <c r="HP10" s="284"/>
      <c r="HQ10" s="284"/>
      <c r="HR10" s="284"/>
      <c r="HS10" s="284"/>
      <c r="HT10" s="284"/>
      <c r="HU10" s="284"/>
      <c r="HV10" s="284"/>
      <c r="HW10" s="284"/>
      <c r="HX10" s="284"/>
      <c r="HY10" s="284"/>
      <c r="HZ10" s="284"/>
      <c r="IA10" s="284"/>
      <c r="IB10" s="284"/>
      <c r="IC10" s="284"/>
      <c r="ID10" s="284"/>
      <c r="IE10" s="284"/>
      <c r="IF10" s="284"/>
      <c r="IG10" s="284"/>
      <c r="IH10" s="284"/>
      <c r="II10" s="284"/>
      <c r="IJ10" s="284"/>
      <c r="IK10" s="284"/>
      <c r="IL10" s="284"/>
      <c r="IM10" s="284"/>
      <c r="IN10" s="284"/>
      <c r="IO10" s="284"/>
      <c r="IP10" s="284"/>
      <c r="IQ10" s="284"/>
      <c r="IR10" s="284"/>
      <c r="IS10" s="284"/>
      <c r="IT10" s="284"/>
      <c r="IU10" s="284"/>
      <c r="IV10" s="284"/>
      <c r="IW10" s="284"/>
    </row>
    <row r="11" spans="1:257" ht="47.25" x14ac:dyDescent="0.25">
      <c r="A11" s="285">
        <v>8</v>
      </c>
      <c r="B11" s="403" t="s">
        <v>258</v>
      </c>
      <c r="C11" s="410" t="s">
        <v>61</v>
      </c>
      <c r="D11" s="411">
        <v>8</v>
      </c>
      <c r="E11" s="286">
        <v>45000</v>
      </c>
      <c r="F11" s="448">
        <v>0.8</v>
      </c>
      <c r="G11" s="287">
        <f t="shared" si="0"/>
        <v>288000</v>
      </c>
      <c r="H11" s="409"/>
      <c r="I11" s="424"/>
      <c r="J11" s="283"/>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284"/>
      <c r="AL11" s="284"/>
      <c r="AM11" s="284"/>
      <c r="AN11" s="284"/>
      <c r="AO11" s="284"/>
      <c r="AP11" s="284"/>
      <c r="AQ11" s="284"/>
      <c r="AR11" s="284"/>
      <c r="AS11" s="284"/>
      <c r="AT11" s="284"/>
      <c r="AU11" s="284"/>
      <c r="AV11" s="284"/>
      <c r="AW11" s="284"/>
      <c r="AX11" s="284"/>
      <c r="AY11" s="284"/>
      <c r="AZ11" s="284"/>
      <c r="BA11" s="284"/>
      <c r="BB11" s="284"/>
      <c r="BC11" s="284"/>
      <c r="BD11" s="284"/>
      <c r="BE11" s="284"/>
      <c r="BF11" s="284"/>
      <c r="BG11" s="284"/>
      <c r="BH11" s="284"/>
      <c r="BI11" s="284"/>
      <c r="BJ11" s="284"/>
      <c r="BK11" s="284"/>
      <c r="BL11" s="284"/>
      <c r="BM11" s="284"/>
      <c r="BN11" s="284"/>
      <c r="BO11" s="284"/>
      <c r="BP11" s="284"/>
      <c r="BQ11" s="284"/>
      <c r="BR11" s="284"/>
      <c r="BS11" s="284"/>
      <c r="BT11" s="284"/>
      <c r="BU11" s="284"/>
      <c r="BV11" s="284"/>
      <c r="BW11" s="284"/>
      <c r="BX11" s="284"/>
      <c r="BY11" s="284"/>
      <c r="BZ11" s="284"/>
      <c r="CA11" s="284"/>
      <c r="CB11" s="284"/>
      <c r="CC11" s="284"/>
      <c r="CD11" s="284"/>
      <c r="CE11" s="284"/>
      <c r="CF11" s="284"/>
      <c r="CG11" s="284"/>
      <c r="CH11" s="284"/>
      <c r="CI11" s="284"/>
      <c r="CJ11" s="284"/>
      <c r="CK11" s="284"/>
      <c r="CL11" s="284"/>
      <c r="CM11" s="284"/>
      <c r="CN11" s="284"/>
      <c r="CO11" s="284"/>
      <c r="CP11" s="284"/>
      <c r="CQ11" s="284"/>
      <c r="CR11" s="284"/>
      <c r="CS11" s="284"/>
      <c r="CT11" s="284"/>
      <c r="CU11" s="284"/>
      <c r="CV11" s="284"/>
      <c r="CW11" s="284"/>
      <c r="CX11" s="284"/>
      <c r="CY11" s="284"/>
      <c r="CZ11" s="284"/>
      <c r="DA11" s="284"/>
      <c r="DB11" s="284"/>
      <c r="DC11" s="284"/>
      <c r="DD11" s="284"/>
      <c r="DE11" s="284"/>
      <c r="DF11" s="284"/>
      <c r="DG11" s="284"/>
      <c r="DH11" s="284"/>
      <c r="DI11" s="284"/>
      <c r="DJ11" s="284"/>
      <c r="DK11" s="284"/>
      <c r="DL11" s="284"/>
      <c r="DM11" s="284"/>
      <c r="DN11" s="284"/>
      <c r="DO11" s="284"/>
      <c r="DP11" s="284"/>
      <c r="DQ11" s="284"/>
      <c r="DR11" s="284"/>
      <c r="DS11" s="284"/>
      <c r="DT11" s="284"/>
      <c r="DU11" s="284"/>
      <c r="DV11" s="284"/>
      <c r="DW11" s="284"/>
      <c r="DX11" s="284"/>
      <c r="DY11" s="284"/>
      <c r="DZ11" s="284"/>
      <c r="EA11" s="284"/>
      <c r="EB11" s="284"/>
      <c r="EC11" s="284"/>
      <c r="ED11" s="284"/>
      <c r="EE11" s="284"/>
      <c r="EF11" s="284"/>
      <c r="EG11" s="284"/>
      <c r="EH11" s="284"/>
      <c r="EI11" s="284"/>
      <c r="EJ11" s="284"/>
      <c r="EK11" s="284"/>
      <c r="EL11" s="284"/>
      <c r="EM11" s="284"/>
      <c r="EN11" s="284"/>
      <c r="EO11" s="284"/>
      <c r="EP11" s="284"/>
      <c r="EQ11" s="284"/>
      <c r="ER11" s="284"/>
      <c r="ES11" s="284"/>
      <c r="ET11" s="284"/>
      <c r="EU11" s="284"/>
      <c r="EV11" s="284"/>
      <c r="EW11" s="284"/>
      <c r="EX11" s="284"/>
      <c r="EY11" s="284"/>
      <c r="EZ11" s="284"/>
      <c r="FA11" s="284"/>
      <c r="FB11" s="284"/>
      <c r="FC11" s="284"/>
      <c r="FD11" s="284"/>
      <c r="FE11" s="284"/>
      <c r="FF11" s="284"/>
      <c r="FG11" s="284"/>
      <c r="FH11" s="284"/>
      <c r="FI11" s="284"/>
      <c r="FJ11" s="284"/>
      <c r="FK11" s="284"/>
      <c r="FL11" s="284"/>
      <c r="FM11" s="284"/>
      <c r="FN11" s="284"/>
      <c r="FO11" s="284"/>
      <c r="FP11" s="284"/>
      <c r="FQ11" s="284"/>
      <c r="FR11" s="284"/>
      <c r="FS11" s="284"/>
      <c r="FT11" s="284"/>
      <c r="FU11" s="284"/>
      <c r="FV11" s="284"/>
      <c r="FW11" s="284"/>
      <c r="FX11" s="284"/>
      <c r="FY11" s="284"/>
      <c r="FZ11" s="284"/>
      <c r="GA11" s="284"/>
      <c r="GB11" s="284"/>
      <c r="GC11" s="284"/>
      <c r="GD11" s="284"/>
      <c r="GE11" s="284"/>
      <c r="GF11" s="284"/>
      <c r="GG11" s="284"/>
      <c r="GH11" s="284"/>
      <c r="GI11" s="284"/>
      <c r="GJ11" s="284"/>
      <c r="GK11" s="284"/>
      <c r="GL11" s="284"/>
      <c r="GM11" s="284"/>
      <c r="GN11" s="284"/>
      <c r="GO11" s="284"/>
      <c r="GP11" s="284"/>
      <c r="GQ11" s="284"/>
      <c r="GR11" s="284"/>
      <c r="GS11" s="284"/>
      <c r="GT11" s="284"/>
      <c r="GU11" s="284"/>
      <c r="GV11" s="284"/>
      <c r="GW11" s="284"/>
      <c r="GX11" s="284"/>
      <c r="GY11" s="284"/>
      <c r="GZ11" s="284"/>
      <c r="HA11" s="284"/>
      <c r="HB11" s="284"/>
      <c r="HC11" s="284"/>
      <c r="HD11" s="284"/>
      <c r="HE11" s="284"/>
      <c r="HF11" s="284"/>
      <c r="HG11" s="284"/>
      <c r="HH11" s="284"/>
      <c r="HI11" s="284"/>
      <c r="HJ11" s="284"/>
      <c r="HK11" s="284"/>
      <c r="HL11" s="284"/>
      <c r="HM11" s="284"/>
      <c r="HN11" s="284"/>
      <c r="HO11" s="284"/>
      <c r="HP11" s="284"/>
      <c r="HQ11" s="284"/>
      <c r="HR11" s="284"/>
      <c r="HS11" s="284"/>
      <c r="HT11" s="284"/>
      <c r="HU11" s="284"/>
      <c r="HV11" s="284"/>
      <c r="HW11" s="284"/>
      <c r="HX11" s="284"/>
      <c r="HY11" s="284"/>
      <c r="HZ11" s="284"/>
      <c r="IA11" s="284"/>
      <c r="IB11" s="284"/>
      <c r="IC11" s="284"/>
      <c r="ID11" s="284"/>
      <c r="IE11" s="284"/>
      <c r="IF11" s="284"/>
      <c r="IG11" s="284"/>
      <c r="IH11" s="284"/>
      <c r="II11" s="284"/>
      <c r="IJ11" s="284"/>
      <c r="IK11" s="284"/>
      <c r="IL11" s="284"/>
      <c r="IM11" s="284"/>
      <c r="IN11" s="284"/>
      <c r="IO11" s="284"/>
      <c r="IP11" s="284"/>
      <c r="IQ11" s="284"/>
      <c r="IR11" s="284"/>
      <c r="IS11" s="284"/>
      <c r="IT11" s="284"/>
      <c r="IU11" s="284"/>
      <c r="IV11" s="284"/>
      <c r="IW11" s="284"/>
    </row>
    <row r="12" spans="1:257" ht="36.75" customHeight="1" x14ac:dyDescent="0.25">
      <c r="A12" s="285">
        <v>9</v>
      </c>
      <c r="B12" s="412" t="s">
        <v>323</v>
      </c>
      <c r="C12" s="410" t="s">
        <v>61</v>
      </c>
      <c r="D12" s="411">
        <v>22</v>
      </c>
      <c r="E12" s="286">
        <v>118000</v>
      </c>
      <c r="F12" s="448">
        <v>0.8</v>
      </c>
      <c r="G12" s="287">
        <f t="shared" si="0"/>
        <v>2076800</v>
      </c>
      <c r="H12" s="408"/>
      <c r="I12" s="424"/>
      <c r="J12" s="283"/>
      <c r="K12" s="284"/>
      <c r="L12" s="284"/>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284"/>
      <c r="AL12" s="284"/>
      <c r="AM12" s="284"/>
      <c r="AN12" s="284"/>
      <c r="AO12" s="284"/>
      <c r="AP12" s="284"/>
      <c r="AQ12" s="284"/>
      <c r="AR12" s="284"/>
      <c r="AS12" s="284"/>
      <c r="AT12" s="284"/>
      <c r="AU12" s="284"/>
      <c r="AV12" s="284"/>
      <c r="AW12" s="284"/>
      <c r="AX12" s="284"/>
      <c r="AY12" s="284"/>
      <c r="AZ12" s="284"/>
      <c r="BA12" s="284"/>
      <c r="BB12" s="284"/>
      <c r="BC12" s="284"/>
      <c r="BD12" s="284"/>
      <c r="BE12" s="284"/>
      <c r="BF12" s="284"/>
      <c r="BG12" s="284"/>
      <c r="BH12" s="284"/>
      <c r="BI12" s="284"/>
      <c r="BJ12" s="284"/>
      <c r="BK12" s="284"/>
      <c r="BL12" s="284"/>
      <c r="BM12" s="284"/>
      <c r="BN12" s="284"/>
      <c r="BO12" s="284"/>
      <c r="BP12" s="284"/>
      <c r="BQ12" s="284"/>
      <c r="BR12" s="284"/>
      <c r="BS12" s="284"/>
      <c r="BT12" s="284"/>
      <c r="BU12" s="284"/>
      <c r="BV12" s="284"/>
      <c r="BW12" s="284"/>
      <c r="BX12" s="284"/>
      <c r="BY12" s="284"/>
      <c r="BZ12" s="284"/>
      <c r="CA12" s="284"/>
      <c r="CB12" s="284"/>
      <c r="CC12" s="284"/>
      <c r="CD12" s="284"/>
      <c r="CE12" s="284"/>
      <c r="CF12" s="284"/>
      <c r="CG12" s="284"/>
      <c r="CH12" s="284"/>
      <c r="CI12" s="284"/>
      <c r="CJ12" s="284"/>
      <c r="CK12" s="284"/>
      <c r="CL12" s="284"/>
      <c r="CM12" s="284"/>
      <c r="CN12" s="284"/>
      <c r="CO12" s="284"/>
      <c r="CP12" s="284"/>
      <c r="CQ12" s="284"/>
      <c r="CR12" s="284"/>
      <c r="CS12" s="284"/>
      <c r="CT12" s="284"/>
      <c r="CU12" s="284"/>
      <c r="CV12" s="284"/>
      <c r="CW12" s="284"/>
      <c r="CX12" s="284"/>
      <c r="CY12" s="284"/>
      <c r="CZ12" s="284"/>
      <c r="DA12" s="284"/>
      <c r="DB12" s="284"/>
      <c r="DC12" s="284"/>
      <c r="DD12" s="284"/>
      <c r="DE12" s="284"/>
      <c r="DF12" s="284"/>
      <c r="DG12" s="284"/>
      <c r="DH12" s="284"/>
      <c r="DI12" s="284"/>
      <c r="DJ12" s="284"/>
      <c r="DK12" s="284"/>
      <c r="DL12" s="284"/>
      <c r="DM12" s="284"/>
      <c r="DN12" s="284"/>
      <c r="DO12" s="284"/>
      <c r="DP12" s="284"/>
      <c r="DQ12" s="284"/>
      <c r="DR12" s="284"/>
      <c r="DS12" s="284"/>
      <c r="DT12" s="284"/>
      <c r="DU12" s="284"/>
      <c r="DV12" s="284"/>
      <c r="DW12" s="284"/>
      <c r="DX12" s="284"/>
      <c r="DY12" s="284"/>
      <c r="DZ12" s="284"/>
      <c r="EA12" s="284"/>
      <c r="EB12" s="284"/>
      <c r="EC12" s="284"/>
      <c r="ED12" s="284"/>
      <c r="EE12" s="284"/>
      <c r="EF12" s="284"/>
      <c r="EG12" s="284"/>
      <c r="EH12" s="284"/>
      <c r="EI12" s="284"/>
      <c r="EJ12" s="284"/>
      <c r="EK12" s="284"/>
      <c r="EL12" s="284"/>
      <c r="EM12" s="284"/>
      <c r="EN12" s="284"/>
      <c r="EO12" s="284"/>
      <c r="EP12" s="284"/>
      <c r="EQ12" s="284"/>
      <c r="ER12" s="284"/>
      <c r="ES12" s="284"/>
      <c r="ET12" s="284"/>
      <c r="EU12" s="284"/>
      <c r="EV12" s="284"/>
      <c r="EW12" s="284"/>
      <c r="EX12" s="284"/>
      <c r="EY12" s="284"/>
      <c r="EZ12" s="284"/>
      <c r="FA12" s="284"/>
      <c r="FB12" s="284"/>
      <c r="FC12" s="284"/>
      <c r="FD12" s="284"/>
      <c r="FE12" s="284"/>
      <c r="FF12" s="284"/>
      <c r="FG12" s="284"/>
      <c r="FH12" s="284"/>
      <c r="FI12" s="284"/>
      <c r="FJ12" s="284"/>
      <c r="FK12" s="284"/>
      <c r="FL12" s="284"/>
      <c r="FM12" s="284"/>
      <c r="FN12" s="284"/>
      <c r="FO12" s="284"/>
      <c r="FP12" s="284"/>
      <c r="FQ12" s="284"/>
      <c r="FR12" s="284"/>
      <c r="FS12" s="284"/>
      <c r="FT12" s="284"/>
      <c r="FU12" s="284"/>
      <c r="FV12" s="284"/>
      <c r="FW12" s="284"/>
      <c r="FX12" s="284"/>
      <c r="FY12" s="284"/>
      <c r="FZ12" s="284"/>
      <c r="GA12" s="284"/>
      <c r="GB12" s="284"/>
      <c r="GC12" s="284"/>
      <c r="GD12" s="284"/>
      <c r="GE12" s="284"/>
      <c r="GF12" s="284"/>
      <c r="GG12" s="284"/>
      <c r="GH12" s="284"/>
      <c r="GI12" s="284"/>
      <c r="GJ12" s="284"/>
      <c r="GK12" s="284"/>
      <c r="GL12" s="284"/>
      <c r="GM12" s="284"/>
      <c r="GN12" s="284"/>
      <c r="GO12" s="284"/>
      <c r="GP12" s="284"/>
      <c r="GQ12" s="284"/>
      <c r="GR12" s="284"/>
      <c r="GS12" s="284"/>
      <c r="GT12" s="284"/>
      <c r="GU12" s="284"/>
      <c r="GV12" s="284"/>
      <c r="GW12" s="284"/>
      <c r="GX12" s="284"/>
      <c r="GY12" s="284"/>
      <c r="GZ12" s="284"/>
      <c r="HA12" s="284"/>
      <c r="HB12" s="284"/>
      <c r="HC12" s="284"/>
      <c r="HD12" s="284"/>
      <c r="HE12" s="284"/>
      <c r="HF12" s="284"/>
      <c r="HG12" s="284"/>
      <c r="HH12" s="284"/>
      <c r="HI12" s="284"/>
      <c r="HJ12" s="284"/>
      <c r="HK12" s="284"/>
      <c r="HL12" s="284"/>
      <c r="HM12" s="284"/>
      <c r="HN12" s="284"/>
      <c r="HO12" s="284"/>
      <c r="HP12" s="284"/>
      <c r="HQ12" s="284"/>
      <c r="HR12" s="284"/>
      <c r="HS12" s="284"/>
      <c r="HT12" s="284"/>
      <c r="HU12" s="284"/>
      <c r="HV12" s="284"/>
      <c r="HW12" s="284"/>
      <c r="HX12" s="284"/>
      <c r="HY12" s="284"/>
      <c r="HZ12" s="284"/>
      <c r="IA12" s="284"/>
      <c r="IB12" s="284"/>
      <c r="IC12" s="284"/>
      <c r="ID12" s="284"/>
      <c r="IE12" s="284"/>
      <c r="IF12" s="284"/>
      <c r="IG12" s="284"/>
      <c r="IH12" s="284"/>
      <c r="II12" s="284"/>
      <c r="IJ12" s="284"/>
      <c r="IK12" s="284"/>
      <c r="IL12" s="284"/>
      <c r="IM12" s="284"/>
      <c r="IN12" s="284"/>
      <c r="IO12" s="284"/>
      <c r="IP12" s="284"/>
      <c r="IQ12" s="284"/>
      <c r="IR12" s="284"/>
      <c r="IS12" s="284"/>
      <c r="IT12" s="284"/>
      <c r="IU12" s="284"/>
      <c r="IV12" s="284"/>
      <c r="IW12" s="284"/>
    </row>
    <row r="13" spans="1:257" ht="55.5" customHeight="1" x14ac:dyDescent="0.25">
      <c r="A13" s="285">
        <v>10</v>
      </c>
      <c r="B13" s="412" t="s">
        <v>231</v>
      </c>
      <c r="C13" s="410" t="s">
        <v>61</v>
      </c>
      <c r="D13" s="411">
        <v>2</v>
      </c>
      <c r="E13" s="286">
        <v>118000</v>
      </c>
      <c r="F13" s="448">
        <v>0.8</v>
      </c>
      <c r="G13" s="287">
        <f t="shared" si="0"/>
        <v>188800</v>
      </c>
      <c r="H13" s="414"/>
      <c r="I13" s="424"/>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8"/>
      <c r="AY13" s="288"/>
      <c r="AZ13" s="288"/>
      <c r="BA13" s="288"/>
      <c r="BB13" s="288"/>
      <c r="BC13" s="288"/>
      <c r="BD13" s="288"/>
      <c r="BE13" s="288"/>
      <c r="BF13" s="288"/>
      <c r="BG13" s="288"/>
      <c r="BH13" s="288"/>
      <c r="BI13" s="288"/>
      <c r="BJ13" s="288"/>
      <c r="BK13" s="288"/>
      <c r="BL13" s="288"/>
      <c r="BM13" s="288"/>
      <c r="BN13" s="288"/>
      <c r="BO13" s="288"/>
      <c r="BP13" s="288"/>
      <c r="BQ13" s="288"/>
      <c r="BR13" s="288"/>
      <c r="BS13" s="288"/>
      <c r="BT13" s="288"/>
      <c r="BU13" s="288"/>
      <c r="BV13" s="288"/>
      <c r="BW13" s="288"/>
      <c r="BX13" s="288"/>
      <c r="BY13" s="288"/>
      <c r="BZ13" s="288"/>
      <c r="CA13" s="288"/>
      <c r="CB13" s="288"/>
      <c r="CC13" s="288"/>
      <c r="CD13" s="288"/>
      <c r="CE13" s="288"/>
      <c r="CF13" s="288"/>
      <c r="CG13" s="288"/>
      <c r="CH13" s="288"/>
      <c r="CI13" s="288"/>
      <c r="CJ13" s="288"/>
      <c r="CK13" s="288"/>
      <c r="CL13" s="288"/>
      <c r="CM13" s="288"/>
      <c r="CN13" s="288"/>
      <c r="CO13" s="288"/>
      <c r="CP13" s="288"/>
      <c r="CQ13" s="288"/>
      <c r="CR13" s="288"/>
      <c r="CS13" s="288"/>
      <c r="CT13" s="288"/>
      <c r="CU13" s="288"/>
      <c r="CV13" s="288"/>
      <c r="CW13" s="288"/>
      <c r="CX13" s="288"/>
      <c r="CY13" s="288"/>
      <c r="CZ13" s="288"/>
      <c r="DA13" s="288"/>
      <c r="DB13" s="288"/>
      <c r="DC13" s="288"/>
      <c r="DD13" s="288"/>
      <c r="DE13" s="288"/>
      <c r="DF13" s="288"/>
      <c r="DG13" s="288"/>
      <c r="DH13" s="288"/>
      <c r="DI13" s="288"/>
      <c r="DJ13" s="288"/>
      <c r="DK13" s="288"/>
      <c r="DL13" s="288"/>
      <c r="DM13" s="288"/>
      <c r="DN13" s="288"/>
      <c r="DO13" s="288"/>
      <c r="DP13" s="288"/>
      <c r="DQ13" s="288"/>
      <c r="DR13" s="288"/>
      <c r="DS13" s="288"/>
      <c r="DT13" s="288"/>
      <c r="DU13" s="288"/>
      <c r="DV13" s="288"/>
      <c r="DW13" s="288"/>
      <c r="DX13" s="288"/>
      <c r="DY13" s="288"/>
      <c r="DZ13" s="288"/>
      <c r="EA13" s="288"/>
      <c r="EB13" s="288"/>
      <c r="EC13" s="288"/>
      <c r="ED13" s="288"/>
      <c r="EE13" s="288"/>
      <c r="EF13" s="288"/>
      <c r="EG13" s="288"/>
      <c r="EH13" s="288"/>
      <c r="EI13" s="288"/>
      <c r="EJ13" s="288"/>
      <c r="EK13" s="288"/>
      <c r="EL13" s="288"/>
      <c r="EM13" s="288"/>
      <c r="EN13" s="288"/>
      <c r="EO13" s="288"/>
      <c r="EP13" s="288"/>
      <c r="EQ13" s="288"/>
      <c r="ER13" s="288"/>
      <c r="ES13" s="288"/>
      <c r="ET13" s="288"/>
      <c r="EU13" s="288"/>
      <c r="EV13" s="288"/>
      <c r="EW13" s="288"/>
      <c r="EX13" s="288"/>
      <c r="EY13" s="288"/>
      <c r="EZ13" s="288"/>
      <c r="FA13" s="288"/>
      <c r="FB13" s="288"/>
      <c r="FC13" s="288"/>
      <c r="FD13" s="288"/>
      <c r="FE13" s="288"/>
      <c r="FF13" s="288"/>
      <c r="FG13" s="288"/>
      <c r="FH13" s="288"/>
      <c r="FI13" s="288"/>
      <c r="FJ13" s="288"/>
      <c r="FK13" s="288"/>
      <c r="FL13" s="288"/>
      <c r="FM13" s="288"/>
      <c r="FN13" s="288"/>
      <c r="FO13" s="288"/>
      <c r="FP13" s="288"/>
      <c r="FQ13" s="288"/>
      <c r="FR13" s="288"/>
      <c r="FS13" s="288"/>
      <c r="FT13" s="288"/>
      <c r="FU13" s="288"/>
      <c r="FV13" s="288"/>
      <c r="FW13" s="288"/>
      <c r="FX13" s="288"/>
      <c r="FY13" s="288"/>
      <c r="FZ13" s="288"/>
      <c r="GA13" s="288"/>
      <c r="GB13" s="288"/>
      <c r="GC13" s="288"/>
      <c r="GD13" s="288"/>
      <c r="GE13" s="288"/>
      <c r="GF13" s="288"/>
      <c r="GG13" s="288"/>
      <c r="GH13" s="288"/>
      <c r="GI13" s="288"/>
      <c r="GJ13" s="288"/>
      <c r="GK13" s="288"/>
      <c r="GL13" s="288"/>
      <c r="GM13" s="288"/>
      <c r="GN13" s="288"/>
      <c r="GO13" s="288"/>
      <c r="GP13" s="288"/>
      <c r="GQ13" s="288"/>
      <c r="GR13" s="288"/>
      <c r="GS13" s="288"/>
      <c r="GT13" s="288"/>
      <c r="GU13" s="288"/>
      <c r="GV13" s="288"/>
      <c r="GW13" s="288"/>
      <c r="GX13" s="288"/>
      <c r="GY13" s="288"/>
      <c r="GZ13" s="288"/>
      <c r="HA13" s="288"/>
      <c r="HB13" s="288"/>
      <c r="HC13" s="288"/>
      <c r="HD13" s="288"/>
      <c r="HE13" s="288"/>
      <c r="HF13" s="288"/>
      <c r="HG13" s="288"/>
      <c r="HH13" s="288"/>
      <c r="HI13" s="288"/>
      <c r="HJ13" s="288"/>
      <c r="HK13" s="288"/>
      <c r="HL13" s="288"/>
      <c r="HM13" s="288"/>
      <c r="HN13" s="288"/>
      <c r="HO13" s="288"/>
      <c r="HP13" s="288"/>
      <c r="HQ13" s="288"/>
      <c r="HR13" s="288"/>
      <c r="HS13" s="288"/>
      <c r="HT13" s="288"/>
      <c r="HU13" s="288"/>
      <c r="HV13" s="288"/>
      <c r="HW13" s="288"/>
      <c r="HX13" s="288"/>
      <c r="HY13" s="288"/>
      <c r="HZ13" s="288"/>
      <c r="IA13" s="288"/>
      <c r="IB13" s="288"/>
      <c r="IC13" s="288"/>
      <c r="ID13" s="288"/>
      <c r="IE13" s="288"/>
      <c r="IF13" s="288"/>
      <c r="IG13" s="288"/>
      <c r="IH13" s="288"/>
      <c r="II13" s="288"/>
      <c r="IJ13" s="288"/>
      <c r="IK13" s="288"/>
      <c r="IL13" s="288"/>
      <c r="IM13" s="288"/>
      <c r="IN13" s="288"/>
      <c r="IO13" s="288"/>
      <c r="IP13" s="288"/>
      <c r="IQ13" s="288"/>
      <c r="IR13" s="288"/>
      <c r="IS13" s="288"/>
      <c r="IT13" s="288"/>
      <c r="IU13" s="288"/>
      <c r="IV13" s="288"/>
      <c r="IW13" s="288"/>
    </row>
    <row r="14" spans="1:257" ht="89.25" customHeight="1" x14ac:dyDescent="0.25">
      <c r="A14" s="285">
        <v>11</v>
      </c>
      <c r="B14" s="412" t="s">
        <v>321</v>
      </c>
      <c r="C14" s="410" t="s">
        <v>61</v>
      </c>
      <c r="D14" s="411">
        <f>120-24</f>
        <v>96</v>
      </c>
      <c r="E14" s="292">
        <f>118000*30%</f>
        <v>35400</v>
      </c>
      <c r="F14" s="449">
        <v>0.8</v>
      </c>
      <c r="G14" s="287">
        <f>D14*E14*F14</f>
        <v>2718720</v>
      </c>
      <c r="H14" s="413" t="s">
        <v>307</v>
      </c>
      <c r="I14" s="424"/>
      <c r="J14" s="283"/>
      <c r="K14" s="284"/>
      <c r="L14" s="284"/>
      <c r="M14" s="284"/>
      <c r="N14" s="284"/>
      <c r="O14" s="284"/>
      <c r="P14" s="284"/>
      <c r="Q14" s="284"/>
      <c r="R14" s="284"/>
      <c r="S14" s="284"/>
      <c r="T14" s="284"/>
      <c r="U14" s="284"/>
      <c r="V14" s="284"/>
      <c r="W14" s="284"/>
      <c r="X14" s="284"/>
      <c r="Y14" s="284"/>
      <c r="Z14" s="284"/>
      <c r="AA14" s="284"/>
      <c r="AB14" s="284"/>
      <c r="AC14" s="284"/>
      <c r="AD14" s="284"/>
      <c r="AE14" s="284"/>
      <c r="AF14" s="284"/>
      <c r="AG14" s="284"/>
      <c r="AH14" s="284"/>
      <c r="AI14" s="284"/>
      <c r="AJ14" s="284"/>
      <c r="AK14" s="284"/>
      <c r="AL14" s="284"/>
      <c r="AM14" s="284"/>
      <c r="AN14" s="284"/>
      <c r="AO14" s="284"/>
      <c r="AP14" s="284"/>
      <c r="AQ14" s="284"/>
      <c r="AR14" s="284"/>
      <c r="AS14" s="284"/>
      <c r="AT14" s="284"/>
      <c r="AU14" s="284"/>
      <c r="AV14" s="284"/>
      <c r="AW14" s="284"/>
      <c r="AX14" s="284"/>
      <c r="AY14" s="284"/>
      <c r="AZ14" s="284"/>
      <c r="BA14" s="284"/>
      <c r="BB14" s="284"/>
      <c r="BC14" s="284"/>
      <c r="BD14" s="284"/>
      <c r="BE14" s="284"/>
      <c r="BF14" s="284"/>
      <c r="BG14" s="284"/>
      <c r="BH14" s="284"/>
      <c r="BI14" s="284"/>
      <c r="BJ14" s="284"/>
      <c r="BK14" s="284"/>
      <c r="BL14" s="284"/>
      <c r="BM14" s="284"/>
      <c r="BN14" s="284"/>
      <c r="BO14" s="284"/>
      <c r="BP14" s="284"/>
      <c r="BQ14" s="284"/>
      <c r="BR14" s="284"/>
      <c r="BS14" s="284"/>
      <c r="BT14" s="284"/>
      <c r="BU14" s="284"/>
      <c r="BV14" s="284"/>
      <c r="BW14" s="284"/>
      <c r="BX14" s="284"/>
      <c r="BY14" s="284"/>
      <c r="BZ14" s="284"/>
      <c r="CA14" s="284"/>
      <c r="CB14" s="284"/>
      <c r="CC14" s="284"/>
      <c r="CD14" s="284"/>
      <c r="CE14" s="284"/>
      <c r="CF14" s="284"/>
      <c r="CG14" s="284"/>
      <c r="CH14" s="284"/>
      <c r="CI14" s="284"/>
      <c r="CJ14" s="284"/>
      <c r="CK14" s="284"/>
      <c r="CL14" s="284"/>
      <c r="CM14" s="284"/>
      <c r="CN14" s="284"/>
      <c r="CO14" s="284"/>
      <c r="CP14" s="284"/>
      <c r="CQ14" s="284"/>
      <c r="CR14" s="284"/>
      <c r="CS14" s="284"/>
      <c r="CT14" s="284"/>
      <c r="CU14" s="284"/>
      <c r="CV14" s="284"/>
      <c r="CW14" s="284"/>
      <c r="CX14" s="284"/>
      <c r="CY14" s="284"/>
      <c r="CZ14" s="284"/>
      <c r="DA14" s="284"/>
      <c r="DB14" s="284"/>
      <c r="DC14" s="284"/>
      <c r="DD14" s="284"/>
      <c r="DE14" s="284"/>
      <c r="DF14" s="284"/>
      <c r="DG14" s="284"/>
      <c r="DH14" s="284"/>
      <c r="DI14" s="284"/>
      <c r="DJ14" s="284"/>
      <c r="DK14" s="284"/>
      <c r="DL14" s="284"/>
      <c r="DM14" s="284"/>
      <c r="DN14" s="284"/>
      <c r="DO14" s="284"/>
      <c r="DP14" s="284"/>
      <c r="DQ14" s="284"/>
      <c r="DR14" s="284"/>
      <c r="DS14" s="284"/>
      <c r="DT14" s="284"/>
      <c r="DU14" s="284"/>
      <c r="DV14" s="284"/>
      <c r="DW14" s="284"/>
      <c r="DX14" s="284"/>
      <c r="DY14" s="284"/>
      <c r="DZ14" s="284"/>
      <c r="EA14" s="284"/>
      <c r="EB14" s="284"/>
      <c r="EC14" s="284"/>
      <c r="ED14" s="284"/>
      <c r="EE14" s="284"/>
      <c r="EF14" s="284"/>
      <c r="EG14" s="284"/>
      <c r="EH14" s="284"/>
      <c r="EI14" s="284"/>
      <c r="EJ14" s="284"/>
      <c r="EK14" s="284"/>
      <c r="EL14" s="284"/>
      <c r="EM14" s="284"/>
      <c r="EN14" s="284"/>
      <c r="EO14" s="284"/>
      <c r="EP14" s="284"/>
      <c r="EQ14" s="284"/>
      <c r="ER14" s="284"/>
      <c r="ES14" s="284"/>
      <c r="ET14" s="284"/>
      <c r="EU14" s="284"/>
      <c r="EV14" s="284"/>
      <c r="EW14" s="284"/>
      <c r="EX14" s="284"/>
      <c r="EY14" s="284"/>
      <c r="EZ14" s="284"/>
      <c r="FA14" s="284"/>
      <c r="FB14" s="284"/>
      <c r="FC14" s="284"/>
      <c r="FD14" s="284"/>
      <c r="FE14" s="284"/>
      <c r="FF14" s="284"/>
      <c r="FG14" s="284"/>
      <c r="FH14" s="284"/>
      <c r="FI14" s="284"/>
      <c r="FJ14" s="284"/>
      <c r="FK14" s="284"/>
      <c r="FL14" s="284"/>
      <c r="FM14" s="284"/>
      <c r="FN14" s="284"/>
      <c r="FO14" s="284"/>
      <c r="FP14" s="284"/>
      <c r="FQ14" s="284"/>
      <c r="FR14" s="284"/>
      <c r="FS14" s="284"/>
      <c r="FT14" s="284"/>
      <c r="FU14" s="284"/>
      <c r="FV14" s="284"/>
      <c r="FW14" s="284"/>
      <c r="FX14" s="284"/>
      <c r="FY14" s="284"/>
      <c r="FZ14" s="284"/>
      <c r="GA14" s="284"/>
      <c r="GB14" s="284"/>
      <c r="GC14" s="284"/>
      <c r="GD14" s="284"/>
      <c r="GE14" s="284"/>
      <c r="GF14" s="284"/>
      <c r="GG14" s="284"/>
      <c r="GH14" s="284"/>
      <c r="GI14" s="284"/>
      <c r="GJ14" s="284"/>
      <c r="GK14" s="284"/>
      <c r="GL14" s="284"/>
      <c r="GM14" s="284"/>
      <c r="GN14" s="284"/>
      <c r="GO14" s="284"/>
      <c r="GP14" s="284"/>
      <c r="GQ14" s="284"/>
      <c r="GR14" s="284"/>
      <c r="GS14" s="284"/>
      <c r="GT14" s="284"/>
      <c r="GU14" s="284"/>
      <c r="GV14" s="284"/>
      <c r="GW14" s="284"/>
      <c r="GX14" s="284"/>
      <c r="GY14" s="284"/>
      <c r="GZ14" s="284"/>
      <c r="HA14" s="284"/>
      <c r="HB14" s="284"/>
      <c r="HC14" s="284"/>
      <c r="HD14" s="284"/>
      <c r="HE14" s="284"/>
      <c r="HF14" s="284"/>
      <c r="HG14" s="284"/>
      <c r="HH14" s="284"/>
      <c r="HI14" s="284"/>
      <c r="HJ14" s="284"/>
      <c r="HK14" s="284"/>
      <c r="HL14" s="284"/>
      <c r="HM14" s="284"/>
      <c r="HN14" s="284"/>
      <c r="HO14" s="284"/>
      <c r="HP14" s="284"/>
      <c r="HQ14" s="284"/>
      <c r="HR14" s="284"/>
      <c r="HS14" s="284"/>
      <c r="HT14" s="284"/>
      <c r="HU14" s="284"/>
      <c r="HV14" s="284"/>
      <c r="HW14" s="284"/>
      <c r="HX14" s="284"/>
      <c r="HY14" s="284"/>
      <c r="HZ14" s="284"/>
      <c r="IA14" s="284"/>
      <c r="IB14" s="284"/>
      <c r="IC14" s="284"/>
      <c r="ID14" s="284"/>
      <c r="IE14" s="284"/>
      <c r="IF14" s="284"/>
      <c r="IG14" s="284"/>
      <c r="IH14" s="284"/>
      <c r="II14" s="284"/>
      <c r="IJ14" s="284"/>
      <c r="IK14" s="284"/>
      <c r="IL14" s="284"/>
      <c r="IM14" s="284"/>
      <c r="IN14" s="284"/>
      <c r="IO14" s="284"/>
      <c r="IP14" s="284"/>
      <c r="IQ14" s="284"/>
      <c r="IR14" s="284"/>
      <c r="IS14" s="284"/>
      <c r="IT14" s="284"/>
      <c r="IU14" s="284"/>
      <c r="IV14" s="284"/>
      <c r="IW14" s="284"/>
    </row>
    <row r="15" spans="1:257" ht="52.5" customHeight="1" x14ac:dyDescent="0.25">
      <c r="A15" s="285">
        <v>12</v>
      </c>
      <c r="B15" s="412" t="s">
        <v>320</v>
      </c>
      <c r="C15" s="410" t="s">
        <v>61</v>
      </c>
      <c r="D15" s="411">
        <v>29</v>
      </c>
      <c r="E15" s="286">
        <v>123000</v>
      </c>
      <c r="F15" s="448">
        <v>0.8</v>
      </c>
      <c r="G15" s="287">
        <f t="shared" si="0"/>
        <v>2853600</v>
      </c>
      <c r="H15" s="414"/>
      <c r="I15" s="424"/>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8"/>
      <c r="AY15" s="288"/>
      <c r="AZ15" s="288"/>
      <c r="BA15" s="288"/>
      <c r="BB15" s="288"/>
      <c r="BC15" s="288"/>
      <c r="BD15" s="288"/>
      <c r="BE15" s="288"/>
      <c r="BF15" s="288"/>
      <c r="BG15" s="288"/>
      <c r="BH15" s="288"/>
      <c r="BI15" s="288"/>
      <c r="BJ15" s="288"/>
      <c r="BK15" s="288"/>
      <c r="BL15" s="288"/>
      <c r="BM15" s="288"/>
      <c r="BN15" s="288"/>
      <c r="BO15" s="288"/>
      <c r="BP15" s="288"/>
      <c r="BQ15" s="288"/>
      <c r="BR15" s="288"/>
      <c r="BS15" s="288"/>
      <c r="BT15" s="288"/>
      <c r="BU15" s="288"/>
      <c r="BV15" s="288"/>
      <c r="BW15" s="288"/>
      <c r="BX15" s="288"/>
      <c r="BY15" s="288"/>
      <c r="BZ15" s="288"/>
      <c r="CA15" s="288"/>
      <c r="CB15" s="288"/>
      <c r="CC15" s="288"/>
      <c r="CD15" s="288"/>
      <c r="CE15" s="288"/>
      <c r="CF15" s="288"/>
      <c r="CG15" s="288"/>
      <c r="CH15" s="288"/>
      <c r="CI15" s="288"/>
      <c r="CJ15" s="288"/>
      <c r="CK15" s="288"/>
      <c r="CL15" s="288"/>
      <c r="CM15" s="288"/>
      <c r="CN15" s="288"/>
      <c r="CO15" s="288"/>
      <c r="CP15" s="288"/>
      <c r="CQ15" s="288"/>
      <c r="CR15" s="288"/>
      <c r="CS15" s="288"/>
      <c r="CT15" s="288"/>
      <c r="CU15" s="288"/>
      <c r="CV15" s="288"/>
      <c r="CW15" s="288"/>
      <c r="CX15" s="288"/>
      <c r="CY15" s="288"/>
      <c r="CZ15" s="288"/>
      <c r="DA15" s="288"/>
      <c r="DB15" s="288"/>
      <c r="DC15" s="288"/>
      <c r="DD15" s="288"/>
      <c r="DE15" s="288"/>
      <c r="DF15" s="288"/>
      <c r="DG15" s="288"/>
      <c r="DH15" s="288"/>
      <c r="DI15" s="288"/>
      <c r="DJ15" s="288"/>
      <c r="DK15" s="288"/>
      <c r="DL15" s="288"/>
      <c r="DM15" s="288"/>
      <c r="DN15" s="288"/>
      <c r="DO15" s="288"/>
      <c r="DP15" s="288"/>
      <c r="DQ15" s="288"/>
      <c r="DR15" s="288"/>
      <c r="DS15" s="288"/>
      <c r="DT15" s="288"/>
      <c r="DU15" s="288"/>
      <c r="DV15" s="288"/>
      <c r="DW15" s="288"/>
      <c r="DX15" s="288"/>
      <c r="DY15" s="288"/>
      <c r="DZ15" s="288"/>
      <c r="EA15" s="288"/>
      <c r="EB15" s="288"/>
      <c r="EC15" s="288"/>
      <c r="ED15" s="288"/>
      <c r="EE15" s="288"/>
      <c r="EF15" s="288"/>
      <c r="EG15" s="288"/>
      <c r="EH15" s="288"/>
      <c r="EI15" s="288"/>
      <c r="EJ15" s="288"/>
      <c r="EK15" s="288"/>
      <c r="EL15" s="288"/>
      <c r="EM15" s="288"/>
      <c r="EN15" s="288"/>
      <c r="EO15" s="288"/>
      <c r="EP15" s="288"/>
      <c r="EQ15" s="288"/>
      <c r="ER15" s="288"/>
      <c r="ES15" s="288"/>
      <c r="ET15" s="288"/>
      <c r="EU15" s="288"/>
      <c r="EV15" s="288"/>
      <c r="EW15" s="288"/>
      <c r="EX15" s="288"/>
      <c r="EY15" s="288"/>
      <c r="EZ15" s="288"/>
      <c r="FA15" s="288"/>
      <c r="FB15" s="288"/>
      <c r="FC15" s="288"/>
      <c r="FD15" s="288"/>
      <c r="FE15" s="288"/>
      <c r="FF15" s="288"/>
      <c r="FG15" s="288"/>
      <c r="FH15" s="288"/>
      <c r="FI15" s="288"/>
      <c r="FJ15" s="288"/>
      <c r="FK15" s="288"/>
      <c r="FL15" s="288"/>
      <c r="FM15" s="288"/>
      <c r="FN15" s="288"/>
      <c r="FO15" s="288"/>
      <c r="FP15" s="288"/>
      <c r="FQ15" s="288"/>
      <c r="FR15" s="288"/>
      <c r="FS15" s="288"/>
      <c r="FT15" s="288"/>
      <c r="FU15" s="288"/>
      <c r="FV15" s="288"/>
      <c r="FW15" s="288"/>
      <c r="FX15" s="288"/>
      <c r="FY15" s="288"/>
      <c r="FZ15" s="288"/>
      <c r="GA15" s="288"/>
      <c r="GB15" s="288"/>
      <c r="GC15" s="288"/>
      <c r="GD15" s="288"/>
      <c r="GE15" s="288"/>
      <c r="GF15" s="288"/>
      <c r="GG15" s="288"/>
      <c r="GH15" s="288"/>
      <c r="GI15" s="288"/>
      <c r="GJ15" s="288"/>
      <c r="GK15" s="288"/>
      <c r="GL15" s="288"/>
      <c r="GM15" s="288"/>
      <c r="GN15" s="288"/>
      <c r="GO15" s="288"/>
      <c r="GP15" s="288"/>
      <c r="GQ15" s="288"/>
      <c r="GR15" s="288"/>
      <c r="GS15" s="288"/>
      <c r="GT15" s="288"/>
      <c r="GU15" s="288"/>
      <c r="GV15" s="288"/>
      <c r="GW15" s="288"/>
      <c r="GX15" s="288"/>
      <c r="GY15" s="288"/>
      <c r="GZ15" s="288"/>
      <c r="HA15" s="288"/>
      <c r="HB15" s="288"/>
      <c r="HC15" s="288"/>
      <c r="HD15" s="288"/>
      <c r="HE15" s="288"/>
      <c r="HF15" s="288"/>
      <c r="HG15" s="288"/>
      <c r="HH15" s="288"/>
      <c r="HI15" s="288"/>
      <c r="HJ15" s="288"/>
      <c r="HK15" s="288"/>
      <c r="HL15" s="288"/>
      <c r="HM15" s="288"/>
      <c r="HN15" s="288"/>
      <c r="HO15" s="288"/>
      <c r="HP15" s="288"/>
      <c r="HQ15" s="288"/>
      <c r="HR15" s="288"/>
      <c r="HS15" s="288"/>
      <c r="HT15" s="288"/>
      <c r="HU15" s="288"/>
      <c r="HV15" s="288"/>
      <c r="HW15" s="288"/>
      <c r="HX15" s="288"/>
      <c r="HY15" s="288"/>
      <c r="HZ15" s="288"/>
      <c r="IA15" s="288"/>
      <c r="IB15" s="288"/>
      <c r="IC15" s="288"/>
      <c r="ID15" s="288"/>
      <c r="IE15" s="288"/>
      <c r="IF15" s="288"/>
      <c r="IG15" s="288"/>
      <c r="IH15" s="288"/>
      <c r="II15" s="288"/>
      <c r="IJ15" s="288"/>
      <c r="IK15" s="288"/>
      <c r="IL15" s="288"/>
      <c r="IM15" s="288"/>
      <c r="IN15" s="288"/>
      <c r="IO15" s="288"/>
      <c r="IP15" s="288"/>
      <c r="IQ15" s="288"/>
      <c r="IR15" s="288"/>
      <c r="IS15" s="288"/>
      <c r="IT15" s="288"/>
      <c r="IU15" s="288"/>
      <c r="IV15" s="288"/>
      <c r="IW15" s="288"/>
    </row>
    <row r="16" spans="1:257" ht="53.25" customHeight="1" x14ac:dyDescent="0.25">
      <c r="A16" s="289">
        <v>13</v>
      </c>
      <c r="B16" s="415" t="s">
        <v>319</v>
      </c>
      <c r="C16" s="416" t="s">
        <v>61</v>
      </c>
      <c r="D16" s="417">
        <v>34</v>
      </c>
      <c r="E16" s="438">
        <v>163000</v>
      </c>
      <c r="F16" s="450">
        <v>0.8</v>
      </c>
      <c r="G16" s="290">
        <f t="shared" si="0"/>
        <v>4433600</v>
      </c>
      <c r="H16" s="439"/>
      <c r="I16" s="424"/>
      <c r="J16" s="284"/>
      <c r="K16" s="284"/>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284"/>
      <c r="AL16" s="284"/>
      <c r="AM16" s="284"/>
      <c r="AN16" s="284"/>
      <c r="AO16" s="284"/>
      <c r="AP16" s="284"/>
      <c r="AQ16" s="284"/>
      <c r="AR16" s="284"/>
      <c r="AS16" s="284"/>
      <c r="AT16" s="284"/>
      <c r="AU16" s="284"/>
      <c r="AV16" s="284"/>
      <c r="AW16" s="284"/>
      <c r="AX16" s="284"/>
      <c r="AY16" s="284"/>
      <c r="AZ16" s="284"/>
      <c r="BA16" s="284"/>
      <c r="BB16" s="284"/>
      <c r="BC16" s="284"/>
      <c r="BD16" s="284"/>
      <c r="BE16" s="284"/>
      <c r="BF16" s="284"/>
      <c r="BG16" s="284"/>
      <c r="BH16" s="284"/>
      <c r="BI16" s="284"/>
      <c r="BJ16" s="284"/>
      <c r="BK16" s="284"/>
      <c r="BL16" s="284"/>
      <c r="BM16" s="284"/>
      <c r="BN16" s="284"/>
      <c r="BO16" s="284"/>
      <c r="BP16" s="284"/>
      <c r="BQ16" s="284"/>
      <c r="BR16" s="284"/>
      <c r="BS16" s="284"/>
      <c r="BT16" s="284"/>
      <c r="BU16" s="284"/>
      <c r="BV16" s="284"/>
      <c r="BW16" s="284"/>
      <c r="BX16" s="284"/>
      <c r="BY16" s="284"/>
      <c r="BZ16" s="284"/>
      <c r="CA16" s="284"/>
      <c r="CB16" s="284"/>
      <c r="CC16" s="284"/>
      <c r="CD16" s="284"/>
      <c r="CE16" s="284"/>
      <c r="CF16" s="284"/>
      <c r="CG16" s="284"/>
      <c r="CH16" s="284"/>
      <c r="CI16" s="284"/>
      <c r="CJ16" s="284"/>
      <c r="CK16" s="284"/>
      <c r="CL16" s="284"/>
      <c r="CM16" s="284"/>
      <c r="CN16" s="284"/>
      <c r="CO16" s="284"/>
      <c r="CP16" s="284"/>
      <c r="CQ16" s="284"/>
      <c r="CR16" s="284"/>
      <c r="CS16" s="284"/>
      <c r="CT16" s="284"/>
      <c r="CU16" s="284"/>
      <c r="CV16" s="284"/>
      <c r="CW16" s="284"/>
      <c r="CX16" s="284"/>
      <c r="CY16" s="284"/>
      <c r="CZ16" s="284"/>
      <c r="DA16" s="284"/>
      <c r="DB16" s="284"/>
      <c r="DC16" s="284"/>
      <c r="DD16" s="284"/>
      <c r="DE16" s="284"/>
      <c r="DF16" s="284"/>
      <c r="DG16" s="284"/>
      <c r="DH16" s="284"/>
      <c r="DI16" s="284"/>
      <c r="DJ16" s="284"/>
      <c r="DK16" s="284"/>
      <c r="DL16" s="284"/>
      <c r="DM16" s="284"/>
      <c r="DN16" s="284"/>
      <c r="DO16" s="284"/>
      <c r="DP16" s="284"/>
      <c r="DQ16" s="284"/>
      <c r="DR16" s="284"/>
      <c r="DS16" s="284"/>
      <c r="DT16" s="284"/>
      <c r="DU16" s="284"/>
      <c r="DV16" s="284"/>
      <c r="DW16" s="284"/>
      <c r="DX16" s="284"/>
      <c r="DY16" s="284"/>
      <c r="DZ16" s="284"/>
      <c r="EA16" s="284"/>
      <c r="EB16" s="284"/>
      <c r="EC16" s="284"/>
      <c r="ED16" s="284"/>
      <c r="EE16" s="284"/>
      <c r="EF16" s="284"/>
      <c r="EG16" s="284"/>
      <c r="EH16" s="284"/>
      <c r="EI16" s="284"/>
      <c r="EJ16" s="284"/>
      <c r="EK16" s="284"/>
      <c r="EL16" s="284"/>
      <c r="EM16" s="284"/>
      <c r="EN16" s="284"/>
      <c r="EO16" s="284"/>
      <c r="EP16" s="284"/>
      <c r="EQ16" s="284"/>
      <c r="ER16" s="284"/>
      <c r="ES16" s="284"/>
      <c r="ET16" s="284"/>
      <c r="EU16" s="284"/>
      <c r="EV16" s="284"/>
      <c r="EW16" s="284"/>
      <c r="EX16" s="284"/>
      <c r="EY16" s="284"/>
      <c r="EZ16" s="284"/>
      <c r="FA16" s="284"/>
      <c r="FB16" s="284"/>
      <c r="FC16" s="284"/>
      <c r="FD16" s="284"/>
      <c r="FE16" s="284"/>
      <c r="FF16" s="284"/>
      <c r="FG16" s="284"/>
      <c r="FH16" s="284"/>
      <c r="FI16" s="284"/>
      <c r="FJ16" s="284"/>
      <c r="FK16" s="284"/>
      <c r="FL16" s="284"/>
      <c r="FM16" s="284"/>
      <c r="FN16" s="284"/>
      <c r="FO16" s="284"/>
      <c r="FP16" s="284"/>
      <c r="FQ16" s="284"/>
      <c r="FR16" s="284"/>
      <c r="FS16" s="284"/>
      <c r="FT16" s="284"/>
      <c r="FU16" s="284"/>
      <c r="FV16" s="284"/>
      <c r="FW16" s="284"/>
      <c r="FX16" s="284"/>
      <c r="FY16" s="284"/>
      <c r="FZ16" s="284"/>
      <c r="GA16" s="284"/>
      <c r="GB16" s="284"/>
      <c r="GC16" s="284"/>
      <c r="GD16" s="284"/>
      <c r="GE16" s="284"/>
      <c r="GF16" s="284"/>
      <c r="GG16" s="284"/>
      <c r="GH16" s="284"/>
      <c r="GI16" s="284"/>
      <c r="GJ16" s="284"/>
      <c r="GK16" s="284"/>
      <c r="GL16" s="284"/>
      <c r="GM16" s="284"/>
      <c r="GN16" s="284"/>
      <c r="GO16" s="284"/>
      <c r="GP16" s="284"/>
      <c r="GQ16" s="284"/>
      <c r="GR16" s="284"/>
      <c r="GS16" s="284"/>
      <c r="GT16" s="284"/>
      <c r="GU16" s="284"/>
      <c r="GV16" s="284"/>
      <c r="GW16" s="284"/>
      <c r="GX16" s="284"/>
      <c r="GY16" s="284"/>
      <c r="GZ16" s="284"/>
      <c r="HA16" s="284"/>
      <c r="HB16" s="284"/>
      <c r="HC16" s="284"/>
      <c r="HD16" s="284"/>
      <c r="HE16" s="284"/>
      <c r="HF16" s="284"/>
      <c r="HG16" s="284"/>
      <c r="HH16" s="284"/>
      <c r="HI16" s="284"/>
      <c r="HJ16" s="284"/>
      <c r="HK16" s="284"/>
      <c r="HL16" s="284"/>
      <c r="HM16" s="284"/>
      <c r="HN16" s="284"/>
      <c r="HO16" s="284"/>
      <c r="HP16" s="284"/>
      <c r="HQ16" s="284"/>
      <c r="HR16" s="284"/>
      <c r="HS16" s="284"/>
      <c r="HT16" s="284"/>
      <c r="HU16" s="284"/>
      <c r="HV16" s="284"/>
      <c r="HW16" s="284"/>
      <c r="HX16" s="284"/>
      <c r="HY16" s="284"/>
      <c r="HZ16" s="284"/>
      <c r="IA16" s="284"/>
      <c r="IB16" s="284"/>
      <c r="IC16" s="284"/>
      <c r="ID16" s="284"/>
      <c r="IE16" s="284"/>
      <c r="IF16" s="284"/>
      <c r="IG16" s="284"/>
      <c r="IH16" s="284"/>
      <c r="II16" s="284"/>
      <c r="IJ16" s="284"/>
      <c r="IK16" s="284"/>
      <c r="IL16" s="284"/>
      <c r="IM16" s="284"/>
      <c r="IN16" s="284"/>
      <c r="IO16" s="284"/>
      <c r="IP16" s="284"/>
      <c r="IQ16" s="284"/>
      <c r="IR16" s="284"/>
      <c r="IS16" s="284"/>
      <c r="IT16" s="284"/>
      <c r="IU16" s="284"/>
      <c r="IV16" s="284"/>
      <c r="IW16" s="284"/>
    </row>
    <row r="17" spans="1:257" ht="78.75" customHeight="1" x14ac:dyDescent="0.25">
      <c r="A17" s="279">
        <v>14</v>
      </c>
      <c r="B17" s="428" t="s">
        <v>197</v>
      </c>
      <c r="C17" s="418" t="s">
        <v>61</v>
      </c>
      <c r="D17" s="419">
        <v>9</v>
      </c>
      <c r="E17" s="429">
        <f>305000*80%</f>
        <v>244000</v>
      </c>
      <c r="F17" s="451">
        <v>0.8</v>
      </c>
      <c r="G17" s="291">
        <f t="shared" ref="G17" si="1">D17*E17*F17</f>
        <v>1756800</v>
      </c>
      <c r="H17" s="430" t="s">
        <v>264</v>
      </c>
      <c r="I17" s="424"/>
      <c r="J17" s="284"/>
      <c r="K17" s="284"/>
      <c r="L17" s="284"/>
      <c r="M17" s="284"/>
      <c r="N17" s="284"/>
      <c r="O17" s="284"/>
      <c r="P17" s="284"/>
      <c r="Q17" s="284"/>
      <c r="R17" s="284"/>
      <c r="S17" s="284"/>
      <c r="T17" s="284"/>
      <c r="U17" s="284"/>
      <c r="V17" s="284"/>
      <c r="W17" s="284"/>
      <c r="X17" s="284"/>
      <c r="Y17" s="284"/>
      <c r="Z17" s="284"/>
      <c r="AA17" s="284"/>
      <c r="AB17" s="284"/>
      <c r="AC17" s="284"/>
      <c r="AD17" s="284"/>
      <c r="AE17" s="284"/>
      <c r="AF17" s="284"/>
      <c r="AG17" s="284"/>
      <c r="AH17" s="284"/>
      <c r="AI17" s="284"/>
      <c r="AJ17" s="284"/>
      <c r="AK17" s="284"/>
      <c r="AL17" s="284"/>
      <c r="AM17" s="284"/>
      <c r="AN17" s="284"/>
      <c r="AO17" s="284"/>
      <c r="AP17" s="284"/>
      <c r="AQ17" s="284"/>
      <c r="AR17" s="284"/>
      <c r="AS17" s="284"/>
      <c r="AT17" s="284"/>
      <c r="AU17" s="284"/>
      <c r="AV17" s="284"/>
      <c r="AW17" s="284"/>
      <c r="AX17" s="284"/>
      <c r="AY17" s="284"/>
      <c r="AZ17" s="284"/>
      <c r="BA17" s="284"/>
      <c r="BB17" s="284"/>
      <c r="BC17" s="284"/>
      <c r="BD17" s="284"/>
      <c r="BE17" s="284"/>
      <c r="BF17" s="284"/>
      <c r="BG17" s="284"/>
      <c r="BH17" s="284"/>
      <c r="BI17" s="284"/>
      <c r="BJ17" s="284"/>
      <c r="BK17" s="284"/>
      <c r="BL17" s="284"/>
      <c r="BM17" s="284"/>
      <c r="BN17" s="284"/>
      <c r="BO17" s="284"/>
      <c r="BP17" s="284"/>
      <c r="BQ17" s="284"/>
      <c r="BR17" s="284"/>
      <c r="BS17" s="284"/>
      <c r="BT17" s="284"/>
      <c r="BU17" s="284"/>
      <c r="BV17" s="284"/>
      <c r="BW17" s="284"/>
      <c r="BX17" s="284"/>
      <c r="BY17" s="284"/>
      <c r="BZ17" s="284"/>
      <c r="CA17" s="284"/>
      <c r="CB17" s="284"/>
      <c r="CC17" s="284"/>
      <c r="CD17" s="284"/>
      <c r="CE17" s="284"/>
      <c r="CF17" s="284"/>
      <c r="CG17" s="284"/>
      <c r="CH17" s="284"/>
      <c r="CI17" s="284"/>
      <c r="CJ17" s="284"/>
      <c r="CK17" s="284"/>
      <c r="CL17" s="284"/>
      <c r="CM17" s="284"/>
      <c r="CN17" s="284"/>
      <c r="CO17" s="284"/>
      <c r="CP17" s="284"/>
      <c r="CQ17" s="284"/>
      <c r="CR17" s="284"/>
      <c r="CS17" s="284"/>
      <c r="CT17" s="284"/>
      <c r="CU17" s="284"/>
      <c r="CV17" s="284"/>
      <c r="CW17" s="284"/>
      <c r="CX17" s="284"/>
      <c r="CY17" s="284"/>
      <c r="CZ17" s="284"/>
      <c r="DA17" s="284"/>
      <c r="DB17" s="284"/>
      <c r="DC17" s="284"/>
      <c r="DD17" s="284"/>
      <c r="DE17" s="284"/>
      <c r="DF17" s="284"/>
      <c r="DG17" s="284"/>
      <c r="DH17" s="284"/>
      <c r="DI17" s="284"/>
      <c r="DJ17" s="284"/>
      <c r="DK17" s="284"/>
      <c r="DL17" s="284"/>
      <c r="DM17" s="284"/>
      <c r="DN17" s="284"/>
      <c r="DO17" s="284"/>
      <c r="DP17" s="284"/>
      <c r="DQ17" s="284"/>
      <c r="DR17" s="284"/>
      <c r="DS17" s="284"/>
      <c r="DT17" s="284"/>
      <c r="DU17" s="284"/>
      <c r="DV17" s="284"/>
      <c r="DW17" s="284"/>
      <c r="DX17" s="284"/>
      <c r="DY17" s="284"/>
      <c r="DZ17" s="284"/>
      <c r="EA17" s="284"/>
      <c r="EB17" s="284"/>
      <c r="EC17" s="284"/>
      <c r="ED17" s="284"/>
      <c r="EE17" s="284"/>
      <c r="EF17" s="284"/>
      <c r="EG17" s="284"/>
      <c r="EH17" s="284"/>
      <c r="EI17" s="284"/>
      <c r="EJ17" s="284"/>
      <c r="EK17" s="284"/>
      <c r="EL17" s="284"/>
      <c r="EM17" s="284"/>
      <c r="EN17" s="284"/>
      <c r="EO17" s="284"/>
      <c r="EP17" s="284"/>
      <c r="EQ17" s="284"/>
      <c r="ER17" s="284"/>
      <c r="ES17" s="284"/>
      <c r="ET17" s="284"/>
      <c r="EU17" s="284"/>
      <c r="EV17" s="284"/>
      <c r="EW17" s="284"/>
      <c r="EX17" s="284"/>
      <c r="EY17" s="284"/>
      <c r="EZ17" s="284"/>
      <c r="FA17" s="284"/>
      <c r="FB17" s="284"/>
      <c r="FC17" s="284"/>
      <c r="FD17" s="284"/>
      <c r="FE17" s="284"/>
      <c r="FF17" s="284"/>
      <c r="FG17" s="284"/>
      <c r="FH17" s="284"/>
      <c r="FI17" s="284"/>
      <c r="FJ17" s="284"/>
      <c r="FK17" s="284"/>
      <c r="FL17" s="284"/>
      <c r="FM17" s="284"/>
      <c r="FN17" s="284"/>
      <c r="FO17" s="284"/>
      <c r="FP17" s="284"/>
      <c r="FQ17" s="284"/>
      <c r="FR17" s="284"/>
      <c r="FS17" s="284"/>
      <c r="FT17" s="284"/>
      <c r="FU17" s="284"/>
      <c r="FV17" s="284"/>
      <c r="FW17" s="284"/>
      <c r="FX17" s="284"/>
      <c r="FY17" s="284"/>
      <c r="FZ17" s="284"/>
      <c r="GA17" s="284"/>
      <c r="GB17" s="284"/>
      <c r="GC17" s="284"/>
      <c r="GD17" s="284"/>
      <c r="GE17" s="284"/>
      <c r="GF17" s="284"/>
      <c r="GG17" s="284"/>
      <c r="GH17" s="284"/>
      <c r="GI17" s="284"/>
      <c r="GJ17" s="284"/>
      <c r="GK17" s="284"/>
      <c r="GL17" s="284"/>
      <c r="GM17" s="284"/>
      <c r="GN17" s="284"/>
      <c r="GO17" s="284"/>
      <c r="GP17" s="284"/>
      <c r="GQ17" s="284"/>
      <c r="GR17" s="284"/>
      <c r="GS17" s="284"/>
      <c r="GT17" s="284"/>
      <c r="GU17" s="284"/>
      <c r="GV17" s="284"/>
      <c r="GW17" s="284"/>
      <c r="GX17" s="284"/>
      <c r="GY17" s="284"/>
      <c r="GZ17" s="284"/>
      <c r="HA17" s="284"/>
      <c r="HB17" s="284"/>
      <c r="HC17" s="284"/>
      <c r="HD17" s="284"/>
      <c r="HE17" s="284"/>
      <c r="HF17" s="284"/>
      <c r="HG17" s="284"/>
      <c r="HH17" s="284"/>
      <c r="HI17" s="284"/>
      <c r="HJ17" s="284"/>
      <c r="HK17" s="284"/>
      <c r="HL17" s="284"/>
      <c r="HM17" s="284"/>
      <c r="HN17" s="284"/>
      <c r="HO17" s="284"/>
      <c r="HP17" s="284"/>
      <c r="HQ17" s="284"/>
      <c r="HR17" s="284"/>
      <c r="HS17" s="284"/>
      <c r="HT17" s="284"/>
      <c r="HU17" s="284"/>
      <c r="HV17" s="284"/>
      <c r="HW17" s="284"/>
      <c r="HX17" s="284"/>
      <c r="HY17" s="284"/>
      <c r="HZ17" s="284"/>
      <c r="IA17" s="284"/>
      <c r="IB17" s="284"/>
      <c r="IC17" s="284"/>
      <c r="ID17" s="284"/>
      <c r="IE17" s="284"/>
      <c r="IF17" s="284"/>
      <c r="IG17" s="284"/>
      <c r="IH17" s="284"/>
      <c r="II17" s="284"/>
      <c r="IJ17" s="284"/>
      <c r="IK17" s="284"/>
      <c r="IL17" s="284"/>
      <c r="IM17" s="284"/>
      <c r="IN17" s="284"/>
      <c r="IO17" s="284"/>
      <c r="IP17" s="284"/>
      <c r="IQ17" s="284"/>
      <c r="IR17" s="284"/>
      <c r="IS17" s="284"/>
      <c r="IT17" s="284"/>
      <c r="IU17" s="284"/>
      <c r="IV17" s="284"/>
      <c r="IW17" s="284"/>
    </row>
    <row r="18" spans="1:257" ht="87" customHeight="1" x14ac:dyDescent="0.25">
      <c r="A18" s="431">
        <v>15</v>
      </c>
      <c r="B18" s="432" t="s">
        <v>250</v>
      </c>
      <c r="C18" s="433" t="s">
        <v>61</v>
      </c>
      <c r="D18" s="434">
        <v>16</v>
      </c>
      <c r="E18" s="435">
        <f>305000*90%</f>
        <v>274500</v>
      </c>
      <c r="F18" s="452">
        <v>0.8</v>
      </c>
      <c r="G18" s="436">
        <f>D18*E18*F18</f>
        <v>3513600</v>
      </c>
      <c r="H18" s="437" t="s">
        <v>265</v>
      </c>
      <c r="I18" s="42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284"/>
      <c r="AR18" s="284"/>
      <c r="AS18" s="284"/>
      <c r="AT18" s="284"/>
      <c r="AU18" s="284"/>
      <c r="AV18" s="284"/>
      <c r="AW18" s="284"/>
      <c r="AX18" s="284"/>
      <c r="AY18" s="284"/>
      <c r="AZ18" s="284"/>
      <c r="BA18" s="284"/>
      <c r="BB18" s="284"/>
      <c r="BC18" s="284"/>
      <c r="BD18" s="284"/>
      <c r="BE18" s="284"/>
      <c r="BF18" s="284"/>
      <c r="BG18" s="284"/>
      <c r="BH18" s="284"/>
      <c r="BI18" s="284"/>
      <c r="BJ18" s="284"/>
      <c r="BK18" s="284"/>
      <c r="BL18" s="284"/>
      <c r="BM18" s="284"/>
      <c r="BN18" s="284"/>
      <c r="BO18" s="284"/>
      <c r="BP18" s="284"/>
      <c r="BQ18" s="284"/>
      <c r="BR18" s="284"/>
      <c r="BS18" s="284"/>
      <c r="BT18" s="284"/>
      <c r="BU18" s="284"/>
      <c r="BV18" s="284"/>
      <c r="BW18" s="284"/>
      <c r="BX18" s="284"/>
      <c r="BY18" s="284"/>
      <c r="BZ18" s="284"/>
      <c r="CA18" s="284"/>
      <c r="CB18" s="284"/>
      <c r="CC18" s="284"/>
      <c r="CD18" s="284"/>
      <c r="CE18" s="284"/>
      <c r="CF18" s="284"/>
      <c r="CG18" s="284"/>
      <c r="CH18" s="284"/>
      <c r="CI18" s="284"/>
      <c r="CJ18" s="284"/>
      <c r="CK18" s="284"/>
      <c r="CL18" s="284"/>
      <c r="CM18" s="284"/>
      <c r="CN18" s="284"/>
      <c r="CO18" s="284"/>
      <c r="CP18" s="284"/>
      <c r="CQ18" s="284"/>
      <c r="CR18" s="284"/>
      <c r="CS18" s="284"/>
      <c r="CT18" s="284"/>
      <c r="CU18" s="284"/>
      <c r="CV18" s="284"/>
      <c r="CW18" s="284"/>
      <c r="CX18" s="284"/>
      <c r="CY18" s="284"/>
      <c r="CZ18" s="284"/>
      <c r="DA18" s="284"/>
      <c r="DB18" s="284"/>
      <c r="DC18" s="284"/>
      <c r="DD18" s="284"/>
      <c r="DE18" s="284"/>
      <c r="DF18" s="284"/>
      <c r="DG18" s="284"/>
      <c r="DH18" s="284"/>
      <c r="DI18" s="284"/>
      <c r="DJ18" s="284"/>
      <c r="DK18" s="284"/>
      <c r="DL18" s="284"/>
      <c r="DM18" s="284"/>
      <c r="DN18" s="284"/>
      <c r="DO18" s="284"/>
      <c r="DP18" s="284"/>
      <c r="DQ18" s="284"/>
      <c r="DR18" s="284"/>
      <c r="DS18" s="284"/>
      <c r="DT18" s="284"/>
      <c r="DU18" s="284"/>
      <c r="DV18" s="284"/>
      <c r="DW18" s="284"/>
      <c r="DX18" s="284"/>
      <c r="DY18" s="284"/>
      <c r="DZ18" s="284"/>
      <c r="EA18" s="284"/>
      <c r="EB18" s="284"/>
      <c r="EC18" s="284"/>
      <c r="ED18" s="284"/>
      <c r="EE18" s="284"/>
      <c r="EF18" s="284"/>
      <c r="EG18" s="284"/>
      <c r="EH18" s="284"/>
      <c r="EI18" s="284"/>
      <c r="EJ18" s="284"/>
      <c r="EK18" s="284"/>
      <c r="EL18" s="284"/>
      <c r="EM18" s="284"/>
      <c r="EN18" s="284"/>
      <c r="EO18" s="284"/>
      <c r="EP18" s="284"/>
      <c r="EQ18" s="284"/>
      <c r="ER18" s="284"/>
      <c r="ES18" s="284"/>
      <c r="ET18" s="284"/>
      <c r="EU18" s="284"/>
      <c r="EV18" s="284"/>
      <c r="EW18" s="284"/>
      <c r="EX18" s="284"/>
      <c r="EY18" s="284"/>
      <c r="EZ18" s="284"/>
      <c r="FA18" s="284"/>
      <c r="FB18" s="284"/>
      <c r="FC18" s="284"/>
      <c r="FD18" s="284"/>
      <c r="FE18" s="284"/>
      <c r="FF18" s="284"/>
      <c r="FG18" s="284"/>
      <c r="FH18" s="284"/>
      <c r="FI18" s="284"/>
      <c r="FJ18" s="284"/>
      <c r="FK18" s="284"/>
      <c r="FL18" s="284"/>
      <c r="FM18" s="284"/>
      <c r="FN18" s="284"/>
      <c r="FO18" s="284"/>
      <c r="FP18" s="284"/>
      <c r="FQ18" s="284"/>
      <c r="FR18" s="284"/>
      <c r="FS18" s="284"/>
      <c r="FT18" s="284"/>
      <c r="FU18" s="284"/>
      <c r="FV18" s="284"/>
      <c r="FW18" s="284"/>
      <c r="FX18" s="284"/>
      <c r="FY18" s="284"/>
      <c r="FZ18" s="284"/>
      <c r="GA18" s="284"/>
      <c r="GB18" s="284"/>
      <c r="GC18" s="284"/>
      <c r="GD18" s="284"/>
      <c r="GE18" s="284"/>
      <c r="GF18" s="284"/>
      <c r="GG18" s="284"/>
      <c r="GH18" s="284"/>
      <c r="GI18" s="284"/>
      <c r="GJ18" s="284"/>
      <c r="GK18" s="284"/>
      <c r="GL18" s="284"/>
      <c r="GM18" s="284"/>
      <c r="GN18" s="284"/>
      <c r="GO18" s="284"/>
      <c r="GP18" s="284"/>
      <c r="GQ18" s="284"/>
      <c r="GR18" s="284"/>
      <c r="GS18" s="284"/>
      <c r="GT18" s="284"/>
      <c r="GU18" s="284"/>
      <c r="GV18" s="284"/>
      <c r="GW18" s="284"/>
      <c r="GX18" s="284"/>
      <c r="GY18" s="284"/>
      <c r="GZ18" s="284"/>
      <c r="HA18" s="284"/>
      <c r="HB18" s="284"/>
      <c r="HC18" s="284"/>
      <c r="HD18" s="284"/>
      <c r="HE18" s="284"/>
      <c r="HF18" s="284"/>
      <c r="HG18" s="284"/>
      <c r="HH18" s="284"/>
      <c r="HI18" s="284"/>
      <c r="HJ18" s="284"/>
      <c r="HK18" s="284"/>
      <c r="HL18" s="284"/>
      <c r="HM18" s="284"/>
      <c r="HN18" s="284"/>
      <c r="HO18" s="284"/>
      <c r="HP18" s="284"/>
      <c r="HQ18" s="284"/>
      <c r="HR18" s="284"/>
      <c r="HS18" s="284"/>
      <c r="HT18" s="284"/>
      <c r="HU18" s="284"/>
      <c r="HV18" s="284"/>
      <c r="HW18" s="284"/>
      <c r="HX18" s="284"/>
      <c r="HY18" s="284"/>
      <c r="HZ18" s="284"/>
      <c r="IA18" s="284"/>
      <c r="IB18" s="284"/>
      <c r="IC18" s="284"/>
      <c r="ID18" s="284"/>
      <c r="IE18" s="284"/>
      <c r="IF18" s="284"/>
      <c r="IG18" s="284"/>
      <c r="IH18" s="284"/>
      <c r="II18" s="284"/>
      <c r="IJ18" s="284"/>
      <c r="IK18" s="284"/>
      <c r="IL18" s="284"/>
      <c r="IM18" s="284"/>
      <c r="IN18" s="284"/>
      <c r="IO18" s="284"/>
      <c r="IP18" s="284"/>
      <c r="IQ18" s="284"/>
      <c r="IR18" s="284"/>
      <c r="IS18" s="284"/>
      <c r="IT18" s="284"/>
      <c r="IU18" s="284"/>
      <c r="IV18" s="284"/>
      <c r="IW18" s="284"/>
    </row>
    <row r="19" spans="1:257" ht="61.5" customHeight="1" x14ac:dyDescent="0.25">
      <c r="A19" s="285">
        <v>16</v>
      </c>
      <c r="B19" s="412" t="s">
        <v>431</v>
      </c>
      <c r="C19" s="410" t="s">
        <v>61</v>
      </c>
      <c r="D19" s="411">
        <v>2</v>
      </c>
      <c r="E19" s="286">
        <v>285000</v>
      </c>
      <c r="F19" s="448">
        <v>0.8</v>
      </c>
      <c r="G19" s="287">
        <f t="shared" ref="G19:G22" si="2">D19*E19*F19</f>
        <v>456000</v>
      </c>
      <c r="H19" s="414"/>
      <c r="I19" s="42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c r="BB19" s="284"/>
      <c r="BC19" s="284"/>
      <c r="BD19" s="284"/>
      <c r="BE19" s="284"/>
      <c r="BF19" s="284"/>
      <c r="BG19" s="284"/>
      <c r="BH19" s="284"/>
      <c r="BI19" s="284"/>
      <c r="BJ19" s="284"/>
      <c r="BK19" s="284"/>
      <c r="BL19" s="284"/>
      <c r="BM19" s="284"/>
      <c r="BN19" s="284"/>
      <c r="BO19" s="284"/>
      <c r="BP19" s="284"/>
      <c r="BQ19" s="284"/>
      <c r="BR19" s="284"/>
      <c r="BS19" s="284"/>
      <c r="BT19" s="284"/>
      <c r="BU19" s="284"/>
      <c r="BV19" s="284"/>
      <c r="BW19" s="284"/>
      <c r="BX19" s="284"/>
      <c r="BY19" s="284"/>
      <c r="BZ19" s="284"/>
      <c r="CA19" s="284"/>
      <c r="CB19" s="284"/>
      <c r="CC19" s="284"/>
      <c r="CD19" s="284"/>
      <c r="CE19" s="284"/>
      <c r="CF19" s="284"/>
      <c r="CG19" s="284"/>
      <c r="CH19" s="284"/>
      <c r="CI19" s="284"/>
      <c r="CJ19" s="284"/>
      <c r="CK19" s="284"/>
      <c r="CL19" s="284"/>
      <c r="CM19" s="284"/>
      <c r="CN19" s="284"/>
      <c r="CO19" s="284"/>
      <c r="CP19" s="284"/>
      <c r="CQ19" s="284"/>
      <c r="CR19" s="284"/>
      <c r="CS19" s="284"/>
      <c r="CT19" s="284"/>
      <c r="CU19" s="284"/>
      <c r="CV19" s="284"/>
      <c r="CW19" s="284"/>
      <c r="CX19" s="284"/>
      <c r="CY19" s="284"/>
      <c r="CZ19" s="284"/>
      <c r="DA19" s="284"/>
      <c r="DB19" s="284"/>
      <c r="DC19" s="284"/>
      <c r="DD19" s="284"/>
      <c r="DE19" s="284"/>
      <c r="DF19" s="284"/>
      <c r="DG19" s="284"/>
      <c r="DH19" s="284"/>
      <c r="DI19" s="284"/>
      <c r="DJ19" s="284"/>
      <c r="DK19" s="284"/>
      <c r="DL19" s="284"/>
      <c r="DM19" s="284"/>
      <c r="DN19" s="284"/>
      <c r="DO19" s="284"/>
      <c r="DP19" s="284"/>
      <c r="DQ19" s="284"/>
      <c r="DR19" s="284"/>
      <c r="DS19" s="284"/>
      <c r="DT19" s="284"/>
      <c r="DU19" s="284"/>
      <c r="DV19" s="284"/>
      <c r="DW19" s="284"/>
      <c r="DX19" s="284"/>
      <c r="DY19" s="284"/>
      <c r="DZ19" s="284"/>
      <c r="EA19" s="284"/>
      <c r="EB19" s="284"/>
      <c r="EC19" s="284"/>
      <c r="ED19" s="284"/>
      <c r="EE19" s="284"/>
      <c r="EF19" s="284"/>
      <c r="EG19" s="284"/>
      <c r="EH19" s="284"/>
      <c r="EI19" s="284"/>
      <c r="EJ19" s="284"/>
      <c r="EK19" s="284"/>
      <c r="EL19" s="284"/>
      <c r="EM19" s="284"/>
      <c r="EN19" s="284"/>
      <c r="EO19" s="284"/>
      <c r="EP19" s="284"/>
      <c r="EQ19" s="284"/>
      <c r="ER19" s="284"/>
      <c r="ES19" s="284"/>
      <c r="ET19" s="284"/>
      <c r="EU19" s="284"/>
      <c r="EV19" s="284"/>
      <c r="EW19" s="284"/>
      <c r="EX19" s="284"/>
      <c r="EY19" s="284"/>
      <c r="EZ19" s="284"/>
      <c r="FA19" s="284"/>
      <c r="FB19" s="284"/>
      <c r="FC19" s="284"/>
      <c r="FD19" s="284"/>
      <c r="FE19" s="284"/>
      <c r="FF19" s="284"/>
      <c r="FG19" s="284"/>
      <c r="FH19" s="284"/>
      <c r="FI19" s="284"/>
      <c r="FJ19" s="284"/>
      <c r="FK19" s="284"/>
      <c r="FL19" s="284"/>
      <c r="FM19" s="284"/>
      <c r="FN19" s="284"/>
      <c r="FO19" s="284"/>
      <c r="FP19" s="284"/>
      <c r="FQ19" s="284"/>
      <c r="FR19" s="284"/>
      <c r="FS19" s="284"/>
      <c r="FT19" s="284"/>
      <c r="FU19" s="284"/>
      <c r="FV19" s="284"/>
      <c r="FW19" s="284"/>
      <c r="FX19" s="284"/>
      <c r="FY19" s="284"/>
      <c r="FZ19" s="284"/>
      <c r="GA19" s="284"/>
      <c r="GB19" s="284"/>
      <c r="GC19" s="284"/>
      <c r="GD19" s="284"/>
      <c r="GE19" s="284"/>
      <c r="GF19" s="284"/>
      <c r="GG19" s="284"/>
      <c r="GH19" s="284"/>
      <c r="GI19" s="284"/>
      <c r="GJ19" s="284"/>
      <c r="GK19" s="284"/>
      <c r="GL19" s="284"/>
      <c r="GM19" s="284"/>
      <c r="GN19" s="284"/>
      <c r="GO19" s="284"/>
      <c r="GP19" s="284"/>
      <c r="GQ19" s="284"/>
      <c r="GR19" s="284"/>
      <c r="GS19" s="284"/>
      <c r="GT19" s="284"/>
      <c r="GU19" s="284"/>
      <c r="GV19" s="284"/>
      <c r="GW19" s="284"/>
      <c r="GX19" s="284"/>
      <c r="GY19" s="284"/>
      <c r="GZ19" s="284"/>
      <c r="HA19" s="284"/>
      <c r="HB19" s="284"/>
      <c r="HC19" s="284"/>
      <c r="HD19" s="284"/>
      <c r="HE19" s="284"/>
      <c r="HF19" s="284"/>
      <c r="HG19" s="284"/>
      <c r="HH19" s="284"/>
      <c r="HI19" s="284"/>
      <c r="HJ19" s="284"/>
      <c r="HK19" s="284"/>
      <c r="HL19" s="284"/>
      <c r="HM19" s="284"/>
      <c r="HN19" s="284"/>
      <c r="HO19" s="284"/>
      <c r="HP19" s="284"/>
      <c r="HQ19" s="284"/>
      <c r="HR19" s="284"/>
      <c r="HS19" s="284"/>
      <c r="HT19" s="284"/>
      <c r="HU19" s="284"/>
      <c r="HV19" s="284"/>
      <c r="HW19" s="284"/>
      <c r="HX19" s="284"/>
      <c r="HY19" s="284"/>
      <c r="HZ19" s="284"/>
      <c r="IA19" s="284"/>
      <c r="IB19" s="284"/>
      <c r="IC19" s="284"/>
      <c r="ID19" s="284"/>
      <c r="IE19" s="284"/>
      <c r="IF19" s="284"/>
      <c r="IG19" s="284"/>
      <c r="IH19" s="284"/>
      <c r="II19" s="284"/>
      <c r="IJ19" s="284"/>
      <c r="IK19" s="284"/>
      <c r="IL19" s="284"/>
      <c r="IM19" s="284"/>
      <c r="IN19" s="284"/>
      <c r="IO19" s="284"/>
      <c r="IP19" s="284"/>
      <c r="IQ19" s="284"/>
      <c r="IR19" s="284"/>
      <c r="IS19" s="284"/>
      <c r="IT19" s="284"/>
      <c r="IU19" s="284"/>
      <c r="IV19" s="284"/>
      <c r="IW19" s="284"/>
    </row>
    <row r="20" spans="1:257" ht="49.5" customHeight="1" x14ac:dyDescent="0.25">
      <c r="A20" s="285">
        <v>17</v>
      </c>
      <c r="B20" s="412" t="s">
        <v>244</v>
      </c>
      <c r="C20" s="410" t="s">
        <v>61</v>
      </c>
      <c r="D20" s="411">
        <v>29</v>
      </c>
      <c r="E20" s="407">
        <v>305000</v>
      </c>
      <c r="F20" s="448">
        <v>0.8</v>
      </c>
      <c r="G20" s="287">
        <f t="shared" si="2"/>
        <v>7076000</v>
      </c>
      <c r="H20" s="414"/>
      <c r="I20" s="424"/>
      <c r="J20" s="284"/>
      <c r="K20" s="284"/>
      <c r="L20" s="284"/>
      <c r="M20" s="284"/>
      <c r="N20" s="284"/>
      <c r="O20" s="284"/>
      <c r="P20" s="284"/>
      <c r="Q20" s="284"/>
      <c r="R20" s="284"/>
      <c r="S20" s="284"/>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c r="BB20" s="284"/>
      <c r="BC20" s="284"/>
      <c r="BD20" s="284"/>
      <c r="BE20" s="284"/>
      <c r="BF20" s="284"/>
      <c r="BG20" s="284"/>
      <c r="BH20" s="284"/>
      <c r="BI20" s="284"/>
      <c r="BJ20" s="284"/>
      <c r="BK20" s="284"/>
      <c r="BL20" s="284"/>
      <c r="BM20" s="284"/>
      <c r="BN20" s="284"/>
      <c r="BO20" s="284"/>
      <c r="BP20" s="284"/>
      <c r="BQ20" s="284"/>
      <c r="BR20" s="284"/>
      <c r="BS20" s="284"/>
      <c r="BT20" s="284"/>
      <c r="BU20" s="284"/>
      <c r="BV20" s="284"/>
      <c r="BW20" s="284"/>
      <c r="BX20" s="284"/>
      <c r="BY20" s="284"/>
      <c r="BZ20" s="284"/>
      <c r="CA20" s="284"/>
      <c r="CB20" s="284"/>
      <c r="CC20" s="284"/>
      <c r="CD20" s="284"/>
      <c r="CE20" s="284"/>
      <c r="CF20" s="284"/>
      <c r="CG20" s="284"/>
      <c r="CH20" s="284"/>
      <c r="CI20" s="284"/>
      <c r="CJ20" s="284"/>
      <c r="CK20" s="284"/>
      <c r="CL20" s="284"/>
      <c r="CM20" s="284"/>
      <c r="CN20" s="284"/>
      <c r="CO20" s="284"/>
      <c r="CP20" s="284"/>
      <c r="CQ20" s="284"/>
      <c r="CR20" s="284"/>
      <c r="CS20" s="284"/>
      <c r="CT20" s="284"/>
      <c r="CU20" s="284"/>
      <c r="CV20" s="284"/>
      <c r="CW20" s="284"/>
      <c r="CX20" s="284"/>
      <c r="CY20" s="284"/>
      <c r="CZ20" s="284"/>
      <c r="DA20" s="284"/>
      <c r="DB20" s="284"/>
      <c r="DC20" s="284"/>
      <c r="DD20" s="284"/>
      <c r="DE20" s="284"/>
      <c r="DF20" s="284"/>
      <c r="DG20" s="284"/>
      <c r="DH20" s="284"/>
      <c r="DI20" s="284"/>
      <c r="DJ20" s="284"/>
      <c r="DK20" s="284"/>
      <c r="DL20" s="284"/>
      <c r="DM20" s="284"/>
      <c r="DN20" s="284"/>
      <c r="DO20" s="284"/>
      <c r="DP20" s="284"/>
      <c r="DQ20" s="284"/>
      <c r="DR20" s="284"/>
      <c r="DS20" s="284"/>
      <c r="DT20" s="284"/>
      <c r="DU20" s="284"/>
      <c r="DV20" s="284"/>
      <c r="DW20" s="284"/>
      <c r="DX20" s="284"/>
      <c r="DY20" s="284"/>
      <c r="DZ20" s="284"/>
      <c r="EA20" s="284"/>
      <c r="EB20" s="284"/>
      <c r="EC20" s="284"/>
      <c r="ED20" s="284"/>
      <c r="EE20" s="284"/>
      <c r="EF20" s="284"/>
      <c r="EG20" s="284"/>
      <c r="EH20" s="284"/>
      <c r="EI20" s="284"/>
      <c r="EJ20" s="284"/>
      <c r="EK20" s="284"/>
      <c r="EL20" s="284"/>
      <c r="EM20" s="284"/>
      <c r="EN20" s="284"/>
      <c r="EO20" s="284"/>
      <c r="EP20" s="284"/>
      <c r="EQ20" s="284"/>
      <c r="ER20" s="284"/>
      <c r="ES20" s="284"/>
      <c r="ET20" s="284"/>
      <c r="EU20" s="284"/>
      <c r="EV20" s="284"/>
      <c r="EW20" s="284"/>
      <c r="EX20" s="284"/>
      <c r="EY20" s="284"/>
      <c r="EZ20" s="284"/>
      <c r="FA20" s="284"/>
      <c r="FB20" s="284"/>
      <c r="FC20" s="284"/>
      <c r="FD20" s="284"/>
      <c r="FE20" s="284"/>
      <c r="FF20" s="284"/>
      <c r="FG20" s="284"/>
      <c r="FH20" s="284"/>
      <c r="FI20" s="284"/>
      <c r="FJ20" s="284"/>
      <c r="FK20" s="284"/>
      <c r="FL20" s="284"/>
      <c r="FM20" s="284"/>
      <c r="FN20" s="284"/>
      <c r="FO20" s="284"/>
      <c r="FP20" s="284"/>
      <c r="FQ20" s="284"/>
      <c r="FR20" s="284"/>
      <c r="FS20" s="284"/>
      <c r="FT20" s="284"/>
      <c r="FU20" s="284"/>
      <c r="FV20" s="284"/>
      <c r="FW20" s="284"/>
      <c r="FX20" s="284"/>
      <c r="FY20" s="284"/>
      <c r="FZ20" s="284"/>
      <c r="GA20" s="284"/>
      <c r="GB20" s="284"/>
      <c r="GC20" s="284"/>
      <c r="GD20" s="284"/>
      <c r="GE20" s="284"/>
      <c r="GF20" s="284"/>
      <c r="GG20" s="284"/>
      <c r="GH20" s="284"/>
      <c r="GI20" s="284"/>
      <c r="GJ20" s="284"/>
      <c r="GK20" s="284"/>
      <c r="GL20" s="284"/>
      <c r="GM20" s="284"/>
      <c r="GN20" s="284"/>
      <c r="GO20" s="284"/>
      <c r="GP20" s="284"/>
      <c r="GQ20" s="284"/>
      <c r="GR20" s="284"/>
      <c r="GS20" s="284"/>
      <c r="GT20" s="284"/>
      <c r="GU20" s="284"/>
      <c r="GV20" s="284"/>
      <c r="GW20" s="284"/>
      <c r="GX20" s="284"/>
      <c r="GY20" s="284"/>
      <c r="GZ20" s="284"/>
      <c r="HA20" s="284"/>
      <c r="HB20" s="284"/>
      <c r="HC20" s="284"/>
      <c r="HD20" s="284"/>
      <c r="HE20" s="284"/>
      <c r="HF20" s="284"/>
      <c r="HG20" s="284"/>
      <c r="HH20" s="284"/>
      <c r="HI20" s="284"/>
      <c r="HJ20" s="284"/>
      <c r="HK20" s="284"/>
      <c r="HL20" s="284"/>
      <c r="HM20" s="284"/>
      <c r="HN20" s="284"/>
      <c r="HO20" s="284"/>
      <c r="HP20" s="284"/>
      <c r="HQ20" s="284"/>
      <c r="HR20" s="284"/>
      <c r="HS20" s="284"/>
      <c r="HT20" s="284"/>
      <c r="HU20" s="284"/>
      <c r="HV20" s="284"/>
      <c r="HW20" s="284"/>
      <c r="HX20" s="284"/>
      <c r="HY20" s="284"/>
      <c r="HZ20" s="284"/>
      <c r="IA20" s="284"/>
      <c r="IB20" s="284"/>
      <c r="IC20" s="284"/>
      <c r="ID20" s="284"/>
      <c r="IE20" s="284"/>
      <c r="IF20" s="284"/>
      <c r="IG20" s="284"/>
      <c r="IH20" s="284"/>
      <c r="II20" s="284"/>
      <c r="IJ20" s="284"/>
      <c r="IK20" s="284"/>
      <c r="IL20" s="284"/>
      <c r="IM20" s="284"/>
      <c r="IN20" s="284"/>
      <c r="IO20" s="284"/>
      <c r="IP20" s="284"/>
      <c r="IQ20" s="284"/>
      <c r="IR20" s="284"/>
      <c r="IS20" s="284"/>
      <c r="IT20" s="284"/>
      <c r="IU20" s="284"/>
      <c r="IV20" s="284"/>
      <c r="IW20" s="284"/>
    </row>
    <row r="21" spans="1:257" ht="51.75" customHeight="1" x14ac:dyDescent="0.25">
      <c r="A21" s="285">
        <v>18</v>
      </c>
      <c r="B21" s="412" t="s">
        <v>212</v>
      </c>
      <c r="C21" s="410" t="s">
        <v>61</v>
      </c>
      <c r="D21" s="411">
        <v>7</v>
      </c>
      <c r="E21" s="286">
        <v>575000</v>
      </c>
      <c r="F21" s="448">
        <v>0.8</v>
      </c>
      <c r="G21" s="287">
        <f t="shared" si="2"/>
        <v>3220000</v>
      </c>
      <c r="H21" s="414"/>
      <c r="I21" s="42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c r="BB21" s="284"/>
      <c r="BC21" s="284"/>
      <c r="BD21" s="284"/>
      <c r="BE21" s="284"/>
      <c r="BF21" s="284"/>
      <c r="BG21" s="284"/>
      <c r="BH21" s="284"/>
      <c r="BI21" s="284"/>
      <c r="BJ21" s="284"/>
      <c r="BK21" s="284"/>
      <c r="BL21" s="284"/>
      <c r="BM21" s="284"/>
      <c r="BN21" s="284"/>
      <c r="BO21" s="284"/>
      <c r="BP21" s="284"/>
      <c r="BQ21" s="284"/>
      <c r="BR21" s="284"/>
      <c r="BS21" s="284"/>
      <c r="BT21" s="284"/>
      <c r="BU21" s="284"/>
      <c r="BV21" s="284"/>
      <c r="BW21" s="284"/>
      <c r="BX21" s="284"/>
      <c r="BY21" s="284"/>
      <c r="BZ21" s="284"/>
      <c r="CA21" s="284"/>
      <c r="CB21" s="284"/>
      <c r="CC21" s="284"/>
      <c r="CD21" s="284"/>
      <c r="CE21" s="284"/>
      <c r="CF21" s="284"/>
      <c r="CG21" s="284"/>
      <c r="CH21" s="284"/>
      <c r="CI21" s="284"/>
      <c r="CJ21" s="284"/>
      <c r="CK21" s="284"/>
      <c r="CL21" s="284"/>
      <c r="CM21" s="284"/>
      <c r="CN21" s="284"/>
      <c r="CO21" s="284"/>
      <c r="CP21" s="284"/>
      <c r="CQ21" s="284"/>
      <c r="CR21" s="284"/>
      <c r="CS21" s="284"/>
      <c r="CT21" s="284"/>
      <c r="CU21" s="284"/>
      <c r="CV21" s="284"/>
      <c r="CW21" s="284"/>
      <c r="CX21" s="284"/>
      <c r="CY21" s="284"/>
      <c r="CZ21" s="284"/>
      <c r="DA21" s="284"/>
      <c r="DB21" s="284"/>
      <c r="DC21" s="284"/>
      <c r="DD21" s="284"/>
      <c r="DE21" s="284"/>
      <c r="DF21" s="284"/>
      <c r="DG21" s="284"/>
      <c r="DH21" s="284"/>
      <c r="DI21" s="284"/>
      <c r="DJ21" s="284"/>
      <c r="DK21" s="284"/>
      <c r="DL21" s="284"/>
      <c r="DM21" s="284"/>
      <c r="DN21" s="284"/>
      <c r="DO21" s="284"/>
      <c r="DP21" s="284"/>
      <c r="DQ21" s="284"/>
      <c r="DR21" s="284"/>
      <c r="DS21" s="284"/>
      <c r="DT21" s="284"/>
      <c r="DU21" s="284"/>
      <c r="DV21" s="284"/>
      <c r="DW21" s="284"/>
      <c r="DX21" s="284"/>
      <c r="DY21" s="284"/>
      <c r="DZ21" s="284"/>
      <c r="EA21" s="284"/>
      <c r="EB21" s="284"/>
      <c r="EC21" s="284"/>
      <c r="ED21" s="284"/>
      <c r="EE21" s="284"/>
      <c r="EF21" s="284"/>
      <c r="EG21" s="284"/>
      <c r="EH21" s="284"/>
      <c r="EI21" s="284"/>
      <c r="EJ21" s="284"/>
      <c r="EK21" s="284"/>
      <c r="EL21" s="284"/>
      <c r="EM21" s="284"/>
      <c r="EN21" s="284"/>
      <c r="EO21" s="284"/>
      <c r="EP21" s="284"/>
      <c r="EQ21" s="284"/>
      <c r="ER21" s="284"/>
      <c r="ES21" s="284"/>
      <c r="ET21" s="284"/>
      <c r="EU21" s="284"/>
      <c r="EV21" s="284"/>
      <c r="EW21" s="284"/>
      <c r="EX21" s="284"/>
      <c r="EY21" s="284"/>
      <c r="EZ21" s="284"/>
      <c r="FA21" s="284"/>
      <c r="FB21" s="284"/>
      <c r="FC21" s="284"/>
      <c r="FD21" s="284"/>
      <c r="FE21" s="284"/>
      <c r="FF21" s="284"/>
      <c r="FG21" s="284"/>
      <c r="FH21" s="284"/>
      <c r="FI21" s="284"/>
      <c r="FJ21" s="284"/>
      <c r="FK21" s="284"/>
      <c r="FL21" s="284"/>
      <c r="FM21" s="284"/>
      <c r="FN21" s="284"/>
      <c r="FO21" s="284"/>
      <c r="FP21" s="284"/>
      <c r="FQ21" s="284"/>
      <c r="FR21" s="284"/>
      <c r="FS21" s="284"/>
      <c r="FT21" s="284"/>
      <c r="FU21" s="284"/>
      <c r="FV21" s="284"/>
      <c r="FW21" s="284"/>
      <c r="FX21" s="284"/>
      <c r="FY21" s="284"/>
      <c r="FZ21" s="284"/>
      <c r="GA21" s="284"/>
      <c r="GB21" s="284"/>
      <c r="GC21" s="284"/>
      <c r="GD21" s="284"/>
      <c r="GE21" s="284"/>
      <c r="GF21" s="284"/>
      <c r="GG21" s="284"/>
      <c r="GH21" s="284"/>
      <c r="GI21" s="284"/>
      <c r="GJ21" s="284"/>
      <c r="GK21" s="284"/>
      <c r="GL21" s="284"/>
      <c r="GM21" s="284"/>
      <c r="GN21" s="284"/>
      <c r="GO21" s="284"/>
      <c r="GP21" s="284"/>
      <c r="GQ21" s="284"/>
      <c r="GR21" s="284"/>
      <c r="GS21" s="284"/>
      <c r="GT21" s="284"/>
      <c r="GU21" s="284"/>
      <c r="GV21" s="284"/>
      <c r="GW21" s="284"/>
      <c r="GX21" s="284"/>
      <c r="GY21" s="284"/>
      <c r="GZ21" s="284"/>
      <c r="HA21" s="284"/>
      <c r="HB21" s="284"/>
      <c r="HC21" s="284"/>
      <c r="HD21" s="284"/>
      <c r="HE21" s="284"/>
      <c r="HF21" s="284"/>
      <c r="HG21" s="284"/>
      <c r="HH21" s="284"/>
      <c r="HI21" s="284"/>
      <c r="HJ21" s="284"/>
      <c r="HK21" s="284"/>
      <c r="HL21" s="284"/>
      <c r="HM21" s="284"/>
      <c r="HN21" s="284"/>
      <c r="HO21" s="284"/>
      <c r="HP21" s="284"/>
      <c r="HQ21" s="284"/>
      <c r="HR21" s="284"/>
      <c r="HS21" s="284"/>
      <c r="HT21" s="284"/>
      <c r="HU21" s="284"/>
      <c r="HV21" s="284"/>
      <c r="HW21" s="284"/>
      <c r="HX21" s="284"/>
      <c r="HY21" s="284"/>
      <c r="HZ21" s="284"/>
      <c r="IA21" s="284"/>
      <c r="IB21" s="284"/>
      <c r="IC21" s="284"/>
      <c r="ID21" s="284"/>
      <c r="IE21" s="284"/>
      <c r="IF21" s="284"/>
      <c r="IG21" s="284"/>
      <c r="IH21" s="284"/>
      <c r="II21" s="284"/>
      <c r="IJ21" s="284"/>
      <c r="IK21" s="284"/>
      <c r="IL21" s="284"/>
      <c r="IM21" s="284"/>
      <c r="IN21" s="284"/>
      <c r="IO21" s="284"/>
      <c r="IP21" s="284"/>
      <c r="IQ21" s="284"/>
      <c r="IR21" s="284"/>
      <c r="IS21" s="284"/>
      <c r="IT21" s="284"/>
      <c r="IU21" s="284"/>
      <c r="IV21" s="284"/>
      <c r="IW21" s="284"/>
    </row>
    <row r="22" spans="1:257" ht="51" customHeight="1" x14ac:dyDescent="0.25">
      <c r="A22" s="285">
        <v>19</v>
      </c>
      <c r="B22" s="456" t="s">
        <v>303</v>
      </c>
      <c r="C22" s="457" t="s">
        <v>61</v>
      </c>
      <c r="D22" s="458">
        <v>22</v>
      </c>
      <c r="E22" s="286">
        <v>1000000</v>
      </c>
      <c r="F22" s="448">
        <v>0.8</v>
      </c>
      <c r="G22" s="287">
        <f t="shared" si="2"/>
        <v>17600000</v>
      </c>
      <c r="H22" s="460"/>
      <c r="I22" s="424"/>
      <c r="J22" s="284"/>
      <c r="K22" s="284"/>
      <c r="L22" s="284"/>
      <c r="M22" s="284"/>
      <c r="N22" s="284"/>
      <c r="O22" s="284"/>
      <c r="P22" s="284"/>
      <c r="Q22" s="284"/>
      <c r="R22" s="284"/>
      <c r="S22" s="284"/>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c r="BB22" s="284"/>
      <c r="BC22" s="284"/>
      <c r="BD22" s="284"/>
      <c r="BE22" s="284"/>
      <c r="BF22" s="284"/>
      <c r="BG22" s="284"/>
      <c r="BH22" s="284"/>
      <c r="BI22" s="284"/>
      <c r="BJ22" s="284"/>
      <c r="BK22" s="284"/>
      <c r="BL22" s="284"/>
      <c r="BM22" s="284"/>
      <c r="BN22" s="284"/>
      <c r="BO22" s="284"/>
      <c r="BP22" s="284"/>
      <c r="BQ22" s="284"/>
      <c r="BR22" s="284"/>
      <c r="BS22" s="284"/>
      <c r="BT22" s="284"/>
      <c r="BU22" s="284"/>
      <c r="BV22" s="284"/>
      <c r="BW22" s="284"/>
      <c r="BX22" s="284"/>
      <c r="BY22" s="284"/>
      <c r="BZ22" s="284"/>
      <c r="CA22" s="284"/>
      <c r="CB22" s="284"/>
      <c r="CC22" s="284"/>
      <c r="CD22" s="284"/>
      <c r="CE22" s="284"/>
      <c r="CF22" s="284"/>
      <c r="CG22" s="284"/>
      <c r="CH22" s="284"/>
      <c r="CI22" s="284"/>
      <c r="CJ22" s="284"/>
      <c r="CK22" s="284"/>
      <c r="CL22" s="284"/>
      <c r="CM22" s="284"/>
      <c r="CN22" s="284"/>
      <c r="CO22" s="284"/>
      <c r="CP22" s="284"/>
      <c r="CQ22" s="284"/>
      <c r="CR22" s="284"/>
      <c r="CS22" s="284"/>
      <c r="CT22" s="284"/>
      <c r="CU22" s="284"/>
      <c r="CV22" s="284"/>
      <c r="CW22" s="284"/>
      <c r="CX22" s="284"/>
      <c r="CY22" s="284"/>
      <c r="CZ22" s="284"/>
      <c r="DA22" s="284"/>
      <c r="DB22" s="284"/>
      <c r="DC22" s="284"/>
      <c r="DD22" s="284"/>
      <c r="DE22" s="284"/>
      <c r="DF22" s="284"/>
      <c r="DG22" s="284"/>
      <c r="DH22" s="284"/>
      <c r="DI22" s="284"/>
      <c r="DJ22" s="284"/>
      <c r="DK22" s="284"/>
      <c r="DL22" s="284"/>
      <c r="DM22" s="284"/>
      <c r="DN22" s="284"/>
      <c r="DO22" s="284"/>
      <c r="DP22" s="284"/>
      <c r="DQ22" s="284"/>
      <c r="DR22" s="284"/>
      <c r="DS22" s="284"/>
      <c r="DT22" s="284"/>
      <c r="DU22" s="284"/>
      <c r="DV22" s="284"/>
      <c r="DW22" s="284"/>
      <c r="DX22" s="284"/>
      <c r="DY22" s="284"/>
      <c r="DZ22" s="284"/>
      <c r="EA22" s="284"/>
      <c r="EB22" s="284"/>
      <c r="EC22" s="284"/>
      <c r="ED22" s="284"/>
      <c r="EE22" s="284"/>
      <c r="EF22" s="284"/>
      <c r="EG22" s="284"/>
      <c r="EH22" s="284"/>
      <c r="EI22" s="284"/>
      <c r="EJ22" s="284"/>
      <c r="EK22" s="284"/>
      <c r="EL22" s="284"/>
      <c r="EM22" s="284"/>
      <c r="EN22" s="284"/>
      <c r="EO22" s="284"/>
      <c r="EP22" s="284"/>
      <c r="EQ22" s="284"/>
      <c r="ER22" s="284"/>
      <c r="ES22" s="284"/>
      <c r="ET22" s="284"/>
      <c r="EU22" s="284"/>
      <c r="EV22" s="284"/>
      <c r="EW22" s="284"/>
      <c r="EX22" s="284"/>
      <c r="EY22" s="284"/>
      <c r="EZ22" s="284"/>
      <c r="FA22" s="284"/>
      <c r="FB22" s="284"/>
      <c r="FC22" s="284"/>
      <c r="FD22" s="284"/>
      <c r="FE22" s="284"/>
      <c r="FF22" s="284"/>
      <c r="FG22" s="284"/>
      <c r="FH22" s="284"/>
      <c r="FI22" s="284"/>
      <c r="FJ22" s="284"/>
      <c r="FK22" s="284"/>
      <c r="FL22" s="284"/>
      <c r="FM22" s="284"/>
      <c r="FN22" s="284"/>
      <c r="FO22" s="284"/>
      <c r="FP22" s="284"/>
      <c r="FQ22" s="284"/>
      <c r="FR22" s="284"/>
      <c r="FS22" s="284"/>
      <c r="FT22" s="284"/>
      <c r="FU22" s="284"/>
      <c r="FV22" s="284"/>
      <c r="FW22" s="284"/>
      <c r="FX22" s="284"/>
      <c r="FY22" s="284"/>
      <c r="FZ22" s="284"/>
      <c r="GA22" s="284"/>
      <c r="GB22" s="284"/>
      <c r="GC22" s="284"/>
      <c r="GD22" s="284"/>
      <c r="GE22" s="284"/>
      <c r="GF22" s="284"/>
      <c r="GG22" s="284"/>
      <c r="GH22" s="284"/>
      <c r="GI22" s="284"/>
      <c r="GJ22" s="284"/>
      <c r="GK22" s="284"/>
      <c r="GL22" s="284"/>
      <c r="GM22" s="284"/>
      <c r="GN22" s="284"/>
      <c r="GO22" s="284"/>
      <c r="GP22" s="284"/>
      <c r="GQ22" s="284"/>
      <c r="GR22" s="284"/>
      <c r="GS22" s="284"/>
      <c r="GT22" s="284"/>
      <c r="GU22" s="284"/>
      <c r="GV22" s="284"/>
      <c r="GW22" s="284"/>
      <c r="GX22" s="284"/>
      <c r="GY22" s="284"/>
      <c r="GZ22" s="284"/>
      <c r="HA22" s="284"/>
      <c r="HB22" s="284"/>
      <c r="HC22" s="284"/>
      <c r="HD22" s="284"/>
      <c r="HE22" s="284"/>
      <c r="HF22" s="284"/>
      <c r="HG22" s="284"/>
      <c r="HH22" s="284"/>
      <c r="HI22" s="284"/>
      <c r="HJ22" s="284"/>
      <c r="HK22" s="284"/>
      <c r="HL22" s="284"/>
      <c r="HM22" s="284"/>
      <c r="HN22" s="284"/>
      <c r="HO22" s="284"/>
      <c r="HP22" s="284"/>
      <c r="HQ22" s="284"/>
      <c r="HR22" s="284"/>
      <c r="HS22" s="284"/>
      <c r="HT22" s="284"/>
      <c r="HU22" s="284"/>
      <c r="HV22" s="284"/>
      <c r="HW22" s="284"/>
      <c r="HX22" s="284"/>
      <c r="HY22" s="284"/>
      <c r="HZ22" s="284"/>
      <c r="IA22" s="284"/>
      <c r="IB22" s="284"/>
      <c r="IC22" s="284"/>
      <c r="ID22" s="284"/>
      <c r="IE22" s="284"/>
      <c r="IF22" s="284"/>
      <c r="IG22" s="284"/>
      <c r="IH22" s="284"/>
      <c r="II22" s="284"/>
      <c r="IJ22" s="284"/>
      <c r="IK22" s="284"/>
      <c r="IL22" s="284"/>
      <c r="IM22" s="284"/>
      <c r="IN22" s="284"/>
      <c r="IO22" s="284"/>
      <c r="IP22" s="284"/>
      <c r="IQ22" s="284"/>
      <c r="IR22" s="284"/>
      <c r="IS22" s="284"/>
      <c r="IT22" s="284"/>
      <c r="IU22" s="284"/>
      <c r="IV22" s="284"/>
      <c r="IW22" s="284"/>
    </row>
    <row r="23" spans="1:257" ht="48" x14ac:dyDescent="0.25">
      <c r="A23" s="289">
        <v>20</v>
      </c>
      <c r="B23" s="459" t="s">
        <v>439</v>
      </c>
      <c r="C23" s="416" t="s">
        <v>24</v>
      </c>
      <c r="D23" s="417">
        <v>315</v>
      </c>
      <c r="E23" s="293"/>
      <c r="F23" s="453"/>
      <c r="G23" s="293">
        <v>0</v>
      </c>
      <c r="H23" s="461" t="s">
        <v>440</v>
      </c>
      <c r="J23" s="423"/>
      <c r="K23" s="423"/>
      <c r="L23" s="423"/>
      <c r="M23" s="423"/>
      <c r="N23" s="423"/>
      <c r="O23" s="423"/>
      <c r="P23" s="423"/>
      <c r="Q23" s="423"/>
      <c r="R23" s="423"/>
      <c r="S23" s="423"/>
      <c r="T23" s="423"/>
      <c r="U23" s="423"/>
      <c r="V23" s="423"/>
      <c r="W23" s="423"/>
      <c r="X23" s="423"/>
      <c r="Y23" s="423"/>
      <c r="Z23" s="423"/>
      <c r="AA23" s="423"/>
      <c r="AB23" s="423"/>
      <c r="AC23" s="423"/>
      <c r="AD23" s="423"/>
      <c r="AE23" s="423"/>
      <c r="AF23" s="423"/>
      <c r="AG23" s="423"/>
      <c r="AH23" s="423"/>
      <c r="AI23" s="423"/>
      <c r="AJ23" s="423"/>
      <c r="AK23" s="423"/>
      <c r="AL23" s="423"/>
      <c r="AM23" s="423"/>
      <c r="AN23" s="423"/>
      <c r="AO23" s="423"/>
      <c r="AP23" s="423"/>
      <c r="AQ23" s="423"/>
      <c r="AR23" s="423"/>
      <c r="AS23" s="423"/>
      <c r="AT23" s="423"/>
      <c r="AU23" s="423"/>
      <c r="AV23" s="423"/>
      <c r="AW23" s="423"/>
      <c r="AX23" s="423"/>
      <c r="AY23" s="423"/>
      <c r="AZ23" s="423"/>
      <c r="BA23" s="423"/>
      <c r="BB23" s="423"/>
      <c r="BC23" s="423"/>
      <c r="BD23" s="423"/>
      <c r="BE23" s="423"/>
      <c r="BF23" s="423"/>
      <c r="BG23" s="423"/>
      <c r="BH23" s="423"/>
      <c r="BI23" s="423"/>
      <c r="BJ23" s="423"/>
      <c r="BK23" s="423"/>
      <c r="BL23" s="423"/>
      <c r="BM23" s="423"/>
      <c r="BN23" s="423"/>
      <c r="BO23" s="423"/>
      <c r="BP23" s="423"/>
      <c r="BQ23" s="423"/>
      <c r="BR23" s="423"/>
      <c r="BS23" s="423"/>
      <c r="BT23" s="423"/>
      <c r="BU23" s="423"/>
      <c r="BV23" s="423"/>
      <c r="BW23" s="423"/>
      <c r="BX23" s="423"/>
      <c r="BY23" s="423"/>
      <c r="BZ23" s="423"/>
      <c r="CA23" s="423"/>
      <c r="CB23" s="423"/>
      <c r="CC23" s="423"/>
      <c r="CD23" s="423"/>
      <c r="CE23" s="423"/>
      <c r="CF23" s="423"/>
      <c r="CG23" s="423"/>
      <c r="CH23" s="423"/>
      <c r="CI23" s="423"/>
      <c r="CJ23" s="423"/>
      <c r="CK23" s="423"/>
      <c r="CL23" s="423"/>
      <c r="CM23" s="423"/>
      <c r="CN23" s="423"/>
      <c r="CO23" s="423"/>
      <c r="CP23" s="423"/>
      <c r="CQ23" s="423"/>
      <c r="CR23" s="423"/>
      <c r="CS23" s="423"/>
      <c r="CT23" s="423"/>
      <c r="CU23" s="423"/>
      <c r="CV23" s="423"/>
      <c r="CW23" s="423"/>
      <c r="CX23" s="423"/>
      <c r="CY23" s="423"/>
      <c r="CZ23" s="423"/>
      <c r="DA23" s="423"/>
      <c r="DB23" s="423"/>
      <c r="DC23" s="423"/>
      <c r="DD23" s="423"/>
      <c r="DE23" s="423"/>
      <c r="DF23" s="423"/>
      <c r="DG23" s="423"/>
      <c r="DH23" s="423"/>
      <c r="DI23" s="423"/>
      <c r="DJ23" s="423"/>
      <c r="DK23" s="423"/>
      <c r="DL23" s="423"/>
      <c r="DM23" s="423"/>
      <c r="DN23" s="423"/>
      <c r="DO23" s="423"/>
      <c r="DP23" s="423"/>
      <c r="DQ23" s="423"/>
      <c r="DR23" s="423"/>
      <c r="DS23" s="423"/>
      <c r="DT23" s="423"/>
      <c r="DU23" s="423"/>
      <c r="DV23" s="423"/>
      <c r="DW23" s="423"/>
      <c r="DX23" s="423"/>
      <c r="DY23" s="423"/>
      <c r="DZ23" s="423"/>
      <c r="EA23" s="423"/>
      <c r="EB23" s="423"/>
      <c r="EC23" s="423"/>
      <c r="ED23" s="423"/>
      <c r="EE23" s="423"/>
      <c r="EF23" s="423"/>
      <c r="EG23" s="423"/>
      <c r="EH23" s="423"/>
      <c r="EI23" s="423"/>
      <c r="EJ23" s="423"/>
      <c r="EK23" s="423"/>
      <c r="EL23" s="423"/>
      <c r="EM23" s="423"/>
      <c r="EN23" s="423"/>
      <c r="EO23" s="423"/>
      <c r="EP23" s="423"/>
      <c r="EQ23" s="423"/>
      <c r="ER23" s="423"/>
      <c r="ES23" s="423"/>
      <c r="ET23" s="423"/>
      <c r="EU23" s="423"/>
      <c r="EV23" s="423"/>
      <c r="EW23" s="423"/>
      <c r="EX23" s="423"/>
      <c r="EY23" s="423"/>
      <c r="EZ23" s="423"/>
      <c r="FA23" s="423"/>
      <c r="FB23" s="423"/>
      <c r="FC23" s="423"/>
      <c r="FD23" s="423"/>
      <c r="FE23" s="423"/>
      <c r="FF23" s="423"/>
      <c r="FG23" s="423"/>
      <c r="FH23" s="423"/>
      <c r="FI23" s="423"/>
      <c r="FJ23" s="423"/>
      <c r="FK23" s="423"/>
      <c r="FL23" s="423"/>
      <c r="FM23" s="423"/>
      <c r="FN23" s="423"/>
      <c r="FO23" s="423"/>
      <c r="FP23" s="423"/>
      <c r="FQ23" s="423"/>
      <c r="FR23" s="423"/>
      <c r="FS23" s="423"/>
      <c r="FT23" s="423"/>
      <c r="FU23" s="423"/>
      <c r="FV23" s="423"/>
      <c r="FW23" s="423"/>
      <c r="FX23" s="423"/>
      <c r="FY23" s="423"/>
      <c r="FZ23" s="423"/>
      <c r="GA23" s="423"/>
      <c r="GB23" s="423"/>
      <c r="GC23" s="423"/>
      <c r="GD23" s="423"/>
      <c r="GE23" s="423"/>
      <c r="GF23" s="423"/>
      <c r="GG23" s="423"/>
      <c r="GH23" s="423"/>
      <c r="GI23" s="423"/>
      <c r="GJ23" s="423"/>
      <c r="GK23" s="423"/>
      <c r="GL23" s="423"/>
      <c r="GM23" s="423"/>
      <c r="GN23" s="423"/>
      <c r="GO23" s="423"/>
      <c r="GP23" s="423"/>
      <c r="GQ23" s="423"/>
      <c r="GR23" s="423"/>
      <c r="GS23" s="423"/>
      <c r="GT23" s="423"/>
      <c r="GU23" s="423"/>
      <c r="GV23" s="423"/>
      <c r="GW23" s="423"/>
      <c r="GX23" s="423"/>
      <c r="GY23" s="423"/>
      <c r="GZ23" s="423"/>
      <c r="HA23" s="423"/>
      <c r="HB23" s="423"/>
      <c r="HC23" s="423"/>
      <c r="HD23" s="423"/>
      <c r="HE23" s="423"/>
      <c r="HF23" s="423"/>
      <c r="HG23" s="423"/>
      <c r="HH23" s="423"/>
      <c r="HI23" s="423"/>
      <c r="HJ23" s="423"/>
      <c r="HK23" s="423"/>
      <c r="HL23" s="423"/>
      <c r="HM23" s="423"/>
      <c r="HN23" s="423"/>
      <c r="HO23" s="423"/>
      <c r="HP23" s="423"/>
      <c r="HQ23" s="423"/>
      <c r="HR23" s="423"/>
      <c r="HS23" s="423"/>
      <c r="HT23" s="423"/>
      <c r="HU23" s="423"/>
      <c r="HV23" s="423"/>
      <c r="HW23" s="423"/>
      <c r="HX23" s="423"/>
      <c r="HY23" s="423"/>
      <c r="HZ23" s="423"/>
      <c r="IA23" s="423"/>
      <c r="IB23" s="423"/>
      <c r="IC23" s="423"/>
      <c r="ID23" s="423"/>
      <c r="IE23" s="423"/>
      <c r="IF23" s="423"/>
      <c r="IG23" s="423"/>
      <c r="IH23" s="423"/>
      <c r="II23" s="423"/>
      <c r="IJ23" s="423"/>
      <c r="IK23" s="423"/>
      <c r="IL23" s="423"/>
      <c r="IM23" s="423"/>
      <c r="IN23" s="423"/>
      <c r="IO23" s="423"/>
      <c r="IP23" s="423"/>
      <c r="IQ23" s="423"/>
      <c r="IR23" s="423"/>
      <c r="IS23" s="423"/>
      <c r="IT23" s="423"/>
      <c r="IU23" s="423"/>
      <c r="IV23" s="423"/>
      <c r="IW23" s="423"/>
    </row>
    <row r="24" spans="1:257" ht="21" customHeight="1" x14ac:dyDescent="0.25">
      <c r="A24" s="73"/>
      <c r="B24" s="295" t="s">
        <v>25</v>
      </c>
      <c r="C24" s="74"/>
      <c r="D24" s="294"/>
      <c r="E24" s="295"/>
      <c r="F24" s="454"/>
      <c r="G24" s="296">
        <f>SUM(G4:G23)</f>
        <v>338177070</v>
      </c>
      <c r="H24" s="296">
        <f>SUM(H4:H23)</f>
        <v>0</v>
      </c>
      <c r="I24" s="425"/>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7"/>
      <c r="AL24" s="297"/>
      <c r="AM24" s="297"/>
      <c r="AN24" s="297"/>
      <c r="AO24" s="297"/>
      <c r="AP24" s="297"/>
      <c r="AQ24" s="297"/>
      <c r="AR24" s="297"/>
      <c r="AS24" s="297"/>
      <c r="AT24" s="297"/>
      <c r="AU24" s="297"/>
      <c r="AV24" s="297"/>
      <c r="AW24" s="297"/>
      <c r="AX24" s="297"/>
      <c r="AY24" s="297"/>
      <c r="AZ24" s="297"/>
      <c r="BA24" s="297"/>
      <c r="BB24" s="297"/>
      <c r="BC24" s="297"/>
      <c r="BD24" s="297"/>
      <c r="BE24" s="297"/>
      <c r="BF24" s="297"/>
      <c r="BG24" s="297"/>
      <c r="BH24" s="297"/>
      <c r="BI24" s="297"/>
      <c r="BJ24" s="297"/>
      <c r="BK24" s="297"/>
      <c r="BL24" s="297"/>
      <c r="BM24" s="297"/>
      <c r="BN24" s="297"/>
      <c r="BO24" s="297"/>
      <c r="BP24" s="297"/>
      <c r="BQ24" s="297"/>
      <c r="BR24" s="297"/>
      <c r="BS24" s="297"/>
      <c r="BT24" s="297"/>
      <c r="BU24" s="297"/>
      <c r="BV24" s="297"/>
      <c r="BW24" s="297"/>
      <c r="BX24" s="297"/>
      <c r="BY24" s="297"/>
      <c r="BZ24" s="297"/>
      <c r="CA24" s="297"/>
      <c r="CB24" s="297"/>
      <c r="CC24" s="297"/>
      <c r="CD24" s="297"/>
      <c r="CE24" s="297"/>
      <c r="CF24" s="297"/>
      <c r="CG24" s="297"/>
      <c r="CH24" s="297"/>
      <c r="CI24" s="297"/>
      <c r="CJ24" s="297"/>
      <c r="CK24" s="297"/>
      <c r="CL24" s="297"/>
      <c r="CM24" s="297"/>
      <c r="CN24" s="297"/>
      <c r="CO24" s="297"/>
      <c r="CP24" s="297"/>
      <c r="CQ24" s="297"/>
      <c r="CR24" s="297"/>
      <c r="CS24" s="297"/>
      <c r="CT24" s="297"/>
      <c r="CU24" s="297"/>
      <c r="CV24" s="297"/>
      <c r="CW24" s="297"/>
      <c r="CX24" s="297"/>
      <c r="CY24" s="297"/>
      <c r="CZ24" s="297"/>
      <c r="DA24" s="297"/>
      <c r="DB24" s="297"/>
      <c r="DC24" s="297"/>
      <c r="DD24" s="297"/>
      <c r="DE24" s="297"/>
      <c r="DF24" s="297"/>
      <c r="DG24" s="297"/>
      <c r="DH24" s="297"/>
      <c r="DI24" s="297"/>
      <c r="DJ24" s="297"/>
      <c r="DK24" s="297"/>
      <c r="DL24" s="297"/>
      <c r="DM24" s="297"/>
      <c r="DN24" s="297"/>
      <c r="DO24" s="297"/>
      <c r="DP24" s="297"/>
      <c r="DQ24" s="297"/>
      <c r="DR24" s="297"/>
      <c r="DS24" s="297"/>
      <c r="DT24" s="297"/>
      <c r="DU24" s="297"/>
      <c r="DV24" s="297"/>
      <c r="DW24" s="297"/>
      <c r="DX24" s="297"/>
      <c r="DY24" s="297"/>
      <c r="DZ24" s="297"/>
      <c r="EA24" s="297"/>
      <c r="EB24" s="297"/>
      <c r="EC24" s="297"/>
      <c r="ED24" s="297"/>
      <c r="EE24" s="297"/>
      <c r="EF24" s="297"/>
      <c r="EG24" s="297"/>
      <c r="EH24" s="297"/>
      <c r="EI24" s="297"/>
      <c r="EJ24" s="297"/>
      <c r="EK24" s="297"/>
      <c r="EL24" s="297"/>
      <c r="EM24" s="297"/>
      <c r="EN24" s="297"/>
      <c r="EO24" s="297"/>
      <c r="EP24" s="297"/>
      <c r="EQ24" s="297"/>
      <c r="ER24" s="297"/>
      <c r="ES24" s="297"/>
      <c r="ET24" s="297"/>
      <c r="EU24" s="297"/>
      <c r="EV24" s="297"/>
      <c r="EW24" s="297"/>
      <c r="EX24" s="297"/>
      <c r="EY24" s="297"/>
      <c r="EZ24" s="297"/>
      <c r="FA24" s="297"/>
      <c r="FB24" s="297"/>
      <c r="FC24" s="297"/>
      <c r="FD24" s="297"/>
      <c r="FE24" s="297"/>
      <c r="FF24" s="297"/>
      <c r="FG24" s="297"/>
      <c r="FH24" s="297"/>
      <c r="FI24" s="297"/>
      <c r="FJ24" s="297"/>
      <c r="FK24" s="297"/>
      <c r="FL24" s="297"/>
      <c r="FM24" s="297"/>
      <c r="FN24" s="297"/>
      <c r="FO24" s="297"/>
      <c r="FP24" s="297"/>
      <c r="FQ24" s="297"/>
      <c r="FR24" s="297"/>
      <c r="FS24" s="297"/>
      <c r="FT24" s="297"/>
      <c r="FU24" s="297"/>
      <c r="FV24" s="297"/>
      <c r="FW24" s="297"/>
      <c r="FX24" s="297"/>
      <c r="FY24" s="297"/>
      <c r="FZ24" s="297"/>
      <c r="GA24" s="297"/>
      <c r="GB24" s="297"/>
      <c r="GC24" s="297"/>
      <c r="GD24" s="297"/>
      <c r="GE24" s="297"/>
      <c r="GF24" s="297"/>
      <c r="GG24" s="297"/>
      <c r="GH24" s="297"/>
      <c r="GI24" s="297"/>
      <c r="GJ24" s="297"/>
      <c r="GK24" s="297"/>
      <c r="GL24" s="297"/>
      <c r="GM24" s="297"/>
      <c r="GN24" s="297"/>
      <c r="GO24" s="297"/>
      <c r="GP24" s="297"/>
      <c r="GQ24" s="297"/>
      <c r="GR24" s="297"/>
      <c r="GS24" s="297"/>
      <c r="GT24" s="297"/>
      <c r="GU24" s="297"/>
      <c r="GV24" s="297"/>
      <c r="GW24" s="297"/>
      <c r="GX24" s="297"/>
      <c r="GY24" s="297"/>
      <c r="GZ24" s="297"/>
      <c r="HA24" s="297"/>
      <c r="HB24" s="297"/>
      <c r="HC24" s="297"/>
      <c r="HD24" s="297"/>
      <c r="HE24" s="297"/>
      <c r="HF24" s="297"/>
      <c r="HG24" s="297"/>
      <c r="HH24" s="297"/>
      <c r="HI24" s="297"/>
      <c r="HJ24" s="297"/>
      <c r="HK24" s="297"/>
      <c r="HL24" s="297"/>
      <c r="HM24" s="297"/>
      <c r="HN24" s="297"/>
      <c r="HO24" s="297"/>
      <c r="HP24" s="297"/>
      <c r="HQ24" s="297"/>
      <c r="HR24" s="297"/>
      <c r="HS24" s="297"/>
      <c r="HT24" s="297"/>
      <c r="HU24" s="297"/>
      <c r="HV24" s="297"/>
      <c r="HW24" s="297"/>
      <c r="HX24" s="297"/>
      <c r="HY24" s="297"/>
      <c r="HZ24" s="297"/>
      <c r="IA24" s="297"/>
      <c r="IB24" s="297"/>
      <c r="IC24" s="297"/>
      <c r="ID24" s="297"/>
      <c r="IE24" s="297"/>
      <c r="IF24" s="297"/>
      <c r="IG24" s="297"/>
      <c r="IH24" s="297"/>
      <c r="II24" s="297"/>
      <c r="IJ24" s="297"/>
      <c r="IK24" s="297"/>
      <c r="IL24" s="297"/>
      <c r="IM24" s="297"/>
      <c r="IN24" s="297"/>
      <c r="IO24" s="297"/>
      <c r="IP24" s="297"/>
      <c r="IQ24" s="297"/>
      <c r="IR24" s="297"/>
      <c r="IS24" s="297"/>
      <c r="IT24" s="297"/>
      <c r="IU24" s="297"/>
      <c r="IV24" s="297"/>
      <c r="IW24" s="297"/>
    </row>
    <row r="28" spans="1:257" x14ac:dyDescent="0.25">
      <c r="H28" s="298"/>
    </row>
    <row r="32" spans="1:257" x14ac:dyDescent="0.25">
      <c r="C32" s="8"/>
      <c r="D32" s="299"/>
    </row>
    <row r="33" spans="3:4" x14ac:dyDescent="0.25">
      <c r="C33" s="8"/>
      <c r="D33" s="299"/>
    </row>
  </sheetData>
  <autoFilter ref="A3:H24" xr:uid="{00000000-0009-0000-0000-000002000000}"/>
  <mergeCells count="2">
    <mergeCell ref="A1:H1"/>
    <mergeCell ref="I4:I5"/>
  </mergeCells>
  <pageMargins left="0.4" right="0.1" top="0.5" bottom="0.2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2"/>
  <sheetViews>
    <sheetView tabSelected="1" workbookViewId="0">
      <selection activeCell="J11" sqref="J11"/>
    </sheetView>
  </sheetViews>
  <sheetFormatPr defaultRowHeight="15" x14ac:dyDescent="0.25"/>
  <cols>
    <col min="1" max="1" width="4.875" style="301" customWidth="1"/>
    <col min="2" max="2" width="79.375" style="301" customWidth="1"/>
    <col min="3" max="3" width="13.75" style="301" customWidth="1"/>
    <col min="4" max="4" width="8.25" style="301" customWidth="1"/>
    <col min="5" max="5" width="7.25" style="301" customWidth="1"/>
    <col min="6" max="6" width="8.625" style="301" customWidth="1"/>
    <col min="7" max="7" width="12.25" style="301" customWidth="1"/>
    <col min="8" max="8" width="13.75" style="300" bestFit="1" customWidth="1"/>
    <col min="9" max="9" width="10.125" style="301" bestFit="1" customWidth="1"/>
    <col min="10" max="10" width="12" style="301" customWidth="1"/>
    <col min="11" max="256" width="9" style="301"/>
    <col min="257" max="257" width="4.875" style="301" customWidth="1"/>
    <col min="258" max="258" width="74.625" style="301" customWidth="1"/>
    <col min="259" max="259" width="13.875" style="301" customWidth="1"/>
    <col min="260" max="260" width="6.25" style="301" customWidth="1"/>
    <col min="261" max="261" width="6.125" style="301" customWidth="1"/>
    <col min="262" max="262" width="7.75" style="301" customWidth="1"/>
    <col min="263" max="263" width="11.875" style="301" customWidth="1"/>
    <col min="264" max="264" width="9" style="301"/>
    <col min="265" max="265" width="10.125" style="301" bestFit="1" customWidth="1"/>
    <col min="266" max="512" width="9" style="301"/>
    <col min="513" max="513" width="4.875" style="301" customWidth="1"/>
    <col min="514" max="514" width="74.625" style="301" customWidth="1"/>
    <col min="515" max="515" width="13.875" style="301" customWidth="1"/>
    <col min="516" max="516" width="6.25" style="301" customWidth="1"/>
    <col min="517" max="517" width="6.125" style="301" customWidth="1"/>
    <col min="518" max="518" width="7.75" style="301" customWidth="1"/>
    <col min="519" max="519" width="11.875" style="301" customWidth="1"/>
    <col min="520" max="520" width="9" style="301"/>
    <col min="521" max="521" width="10.125" style="301" bestFit="1" customWidth="1"/>
    <col min="522" max="768" width="9" style="301"/>
    <col min="769" max="769" width="4.875" style="301" customWidth="1"/>
    <col min="770" max="770" width="74.625" style="301" customWidth="1"/>
    <col min="771" max="771" width="13.875" style="301" customWidth="1"/>
    <col min="772" max="772" width="6.25" style="301" customWidth="1"/>
    <col min="773" max="773" width="6.125" style="301" customWidth="1"/>
    <col min="774" max="774" width="7.75" style="301" customWidth="1"/>
    <col min="775" max="775" width="11.875" style="301" customWidth="1"/>
    <col min="776" max="776" width="9" style="301"/>
    <col min="777" max="777" width="10.125" style="301" bestFit="1" customWidth="1"/>
    <col min="778" max="1024" width="9" style="301"/>
    <col min="1025" max="1025" width="4.875" style="301" customWidth="1"/>
    <col min="1026" max="1026" width="74.625" style="301" customWidth="1"/>
    <col min="1027" max="1027" width="13.875" style="301" customWidth="1"/>
    <col min="1028" max="1028" width="6.25" style="301" customWidth="1"/>
    <col min="1029" max="1029" width="6.125" style="301" customWidth="1"/>
    <col min="1030" max="1030" width="7.75" style="301" customWidth="1"/>
    <col min="1031" max="1031" width="11.875" style="301" customWidth="1"/>
    <col min="1032" max="1032" width="9" style="301"/>
    <col min="1033" max="1033" width="10.125" style="301" bestFit="1" customWidth="1"/>
    <col min="1034" max="1280" width="9" style="301"/>
    <col min="1281" max="1281" width="4.875" style="301" customWidth="1"/>
    <col min="1282" max="1282" width="74.625" style="301" customWidth="1"/>
    <col min="1283" max="1283" width="13.875" style="301" customWidth="1"/>
    <col min="1284" max="1284" width="6.25" style="301" customWidth="1"/>
    <col min="1285" max="1285" width="6.125" style="301" customWidth="1"/>
    <col min="1286" max="1286" width="7.75" style="301" customWidth="1"/>
    <col min="1287" max="1287" width="11.875" style="301" customWidth="1"/>
    <col min="1288" max="1288" width="9" style="301"/>
    <col min="1289" max="1289" width="10.125" style="301" bestFit="1" customWidth="1"/>
    <col min="1290" max="1536" width="9" style="301"/>
    <col min="1537" max="1537" width="4.875" style="301" customWidth="1"/>
    <col min="1538" max="1538" width="74.625" style="301" customWidth="1"/>
    <col min="1539" max="1539" width="13.875" style="301" customWidth="1"/>
    <col min="1540" max="1540" width="6.25" style="301" customWidth="1"/>
    <col min="1541" max="1541" width="6.125" style="301" customWidth="1"/>
    <col min="1542" max="1542" width="7.75" style="301" customWidth="1"/>
    <col min="1543" max="1543" width="11.875" style="301" customWidth="1"/>
    <col min="1544" max="1544" width="9" style="301"/>
    <col min="1545" max="1545" width="10.125" style="301" bestFit="1" customWidth="1"/>
    <col min="1546" max="1792" width="9" style="301"/>
    <col min="1793" max="1793" width="4.875" style="301" customWidth="1"/>
    <col min="1794" max="1794" width="74.625" style="301" customWidth="1"/>
    <col min="1795" max="1795" width="13.875" style="301" customWidth="1"/>
    <col min="1796" max="1796" width="6.25" style="301" customWidth="1"/>
    <col min="1797" max="1797" width="6.125" style="301" customWidth="1"/>
    <col min="1798" max="1798" width="7.75" style="301" customWidth="1"/>
    <col min="1799" max="1799" width="11.875" style="301" customWidth="1"/>
    <col min="1800" max="1800" width="9" style="301"/>
    <col min="1801" max="1801" width="10.125" style="301" bestFit="1" customWidth="1"/>
    <col min="1802" max="2048" width="9" style="301"/>
    <col min="2049" max="2049" width="4.875" style="301" customWidth="1"/>
    <col min="2050" max="2050" width="74.625" style="301" customWidth="1"/>
    <col min="2051" max="2051" width="13.875" style="301" customWidth="1"/>
    <col min="2052" max="2052" width="6.25" style="301" customWidth="1"/>
    <col min="2053" max="2053" width="6.125" style="301" customWidth="1"/>
    <col min="2054" max="2054" width="7.75" style="301" customWidth="1"/>
    <col min="2055" max="2055" width="11.875" style="301" customWidth="1"/>
    <col min="2056" max="2056" width="9" style="301"/>
    <col min="2057" max="2057" width="10.125" style="301" bestFit="1" customWidth="1"/>
    <col min="2058" max="2304" width="9" style="301"/>
    <col min="2305" max="2305" width="4.875" style="301" customWidth="1"/>
    <col min="2306" max="2306" width="74.625" style="301" customWidth="1"/>
    <col min="2307" max="2307" width="13.875" style="301" customWidth="1"/>
    <col min="2308" max="2308" width="6.25" style="301" customWidth="1"/>
    <col min="2309" max="2309" width="6.125" style="301" customWidth="1"/>
    <col min="2310" max="2310" width="7.75" style="301" customWidth="1"/>
    <col min="2311" max="2311" width="11.875" style="301" customWidth="1"/>
    <col min="2312" max="2312" width="9" style="301"/>
    <col min="2313" max="2313" width="10.125" style="301" bestFit="1" customWidth="1"/>
    <col min="2314" max="2560" width="9" style="301"/>
    <col min="2561" max="2561" width="4.875" style="301" customWidth="1"/>
    <col min="2562" max="2562" width="74.625" style="301" customWidth="1"/>
    <col min="2563" max="2563" width="13.875" style="301" customWidth="1"/>
    <col min="2564" max="2564" width="6.25" style="301" customWidth="1"/>
    <col min="2565" max="2565" width="6.125" style="301" customWidth="1"/>
    <col min="2566" max="2566" width="7.75" style="301" customWidth="1"/>
    <col min="2567" max="2567" width="11.875" style="301" customWidth="1"/>
    <col min="2568" max="2568" width="9" style="301"/>
    <col min="2569" max="2569" width="10.125" style="301" bestFit="1" customWidth="1"/>
    <col min="2570" max="2816" width="9" style="301"/>
    <col min="2817" max="2817" width="4.875" style="301" customWidth="1"/>
    <col min="2818" max="2818" width="74.625" style="301" customWidth="1"/>
    <col min="2819" max="2819" width="13.875" style="301" customWidth="1"/>
    <col min="2820" max="2820" width="6.25" style="301" customWidth="1"/>
    <col min="2821" max="2821" width="6.125" style="301" customWidth="1"/>
    <col min="2822" max="2822" width="7.75" style="301" customWidth="1"/>
    <col min="2823" max="2823" width="11.875" style="301" customWidth="1"/>
    <col min="2824" max="2824" width="9" style="301"/>
    <col min="2825" max="2825" width="10.125" style="301" bestFit="1" customWidth="1"/>
    <col min="2826" max="3072" width="9" style="301"/>
    <col min="3073" max="3073" width="4.875" style="301" customWidth="1"/>
    <col min="3074" max="3074" width="74.625" style="301" customWidth="1"/>
    <col min="3075" max="3075" width="13.875" style="301" customWidth="1"/>
    <col min="3076" max="3076" width="6.25" style="301" customWidth="1"/>
    <col min="3077" max="3077" width="6.125" style="301" customWidth="1"/>
    <col min="3078" max="3078" width="7.75" style="301" customWidth="1"/>
    <col min="3079" max="3079" width="11.875" style="301" customWidth="1"/>
    <col min="3080" max="3080" width="9" style="301"/>
    <col min="3081" max="3081" width="10.125" style="301" bestFit="1" customWidth="1"/>
    <col min="3082" max="3328" width="9" style="301"/>
    <col min="3329" max="3329" width="4.875" style="301" customWidth="1"/>
    <col min="3330" max="3330" width="74.625" style="301" customWidth="1"/>
    <col min="3331" max="3331" width="13.875" style="301" customWidth="1"/>
    <col min="3332" max="3332" width="6.25" style="301" customWidth="1"/>
    <col min="3333" max="3333" width="6.125" style="301" customWidth="1"/>
    <col min="3334" max="3334" width="7.75" style="301" customWidth="1"/>
    <col min="3335" max="3335" width="11.875" style="301" customWidth="1"/>
    <col min="3336" max="3336" width="9" style="301"/>
    <col min="3337" max="3337" width="10.125" style="301" bestFit="1" customWidth="1"/>
    <col min="3338" max="3584" width="9" style="301"/>
    <col min="3585" max="3585" width="4.875" style="301" customWidth="1"/>
    <col min="3586" max="3586" width="74.625" style="301" customWidth="1"/>
    <col min="3587" max="3587" width="13.875" style="301" customWidth="1"/>
    <col min="3588" max="3588" width="6.25" style="301" customWidth="1"/>
    <col min="3589" max="3589" width="6.125" style="301" customWidth="1"/>
    <col min="3590" max="3590" width="7.75" style="301" customWidth="1"/>
    <col min="3591" max="3591" width="11.875" style="301" customWidth="1"/>
    <col min="3592" max="3592" width="9" style="301"/>
    <col min="3593" max="3593" width="10.125" style="301" bestFit="1" customWidth="1"/>
    <col min="3594" max="3840" width="9" style="301"/>
    <col min="3841" max="3841" width="4.875" style="301" customWidth="1"/>
    <col min="3842" max="3842" width="74.625" style="301" customWidth="1"/>
    <col min="3843" max="3843" width="13.875" style="301" customWidth="1"/>
    <col min="3844" max="3844" width="6.25" style="301" customWidth="1"/>
    <col min="3845" max="3845" width="6.125" style="301" customWidth="1"/>
    <col min="3846" max="3846" width="7.75" style="301" customWidth="1"/>
    <col min="3847" max="3847" width="11.875" style="301" customWidth="1"/>
    <col min="3848" max="3848" width="9" style="301"/>
    <col min="3849" max="3849" width="10.125" style="301" bestFit="1" customWidth="1"/>
    <col min="3850" max="4096" width="9" style="301"/>
    <col min="4097" max="4097" width="4.875" style="301" customWidth="1"/>
    <col min="4098" max="4098" width="74.625" style="301" customWidth="1"/>
    <col min="4099" max="4099" width="13.875" style="301" customWidth="1"/>
    <col min="4100" max="4100" width="6.25" style="301" customWidth="1"/>
    <col min="4101" max="4101" width="6.125" style="301" customWidth="1"/>
    <col min="4102" max="4102" width="7.75" style="301" customWidth="1"/>
    <col min="4103" max="4103" width="11.875" style="301" customWidth="1"/>
    <col min="4104" max="4104" width="9" style="301"/>
    <col min="4105" max="4105" width="10.125" style="301" bestFit="1" customWidth="1"/>
    <col min="4106" max="4352" width="9" style="301"/>
    <col min="4353" max="4353" width="4.875" style="301" customWidth="1"/>
    <col min="4354" max="4354" width="74.625" style="301" customWidth="1"/>
    <col min="4355" max="4355" width="13.875" style="301" customWidth="1"/>
    <col min="4356" max="4356" width="6.25" style="301" customWidth="1"/>
    <col min="4357" max="4357" width="6.125" style="301" customWidth="1"/>
    <col min="4358" max="4358" width="7.75" style="301" customWidth="1"/>
    <col min="4359" max="4359" width="11.875" style="301" customWidth="1"/>
    <col min="4360" max="4360" width="9" style="301"/>
    <col min="4361" max="4361" width="10.125" style="301" bestFit="1" customWidth="1"/>
    <col min="4362" max="4608" width="9" style="301"/>
    <col min="4609" max="4609" width="4.875" style="301" customWidth="1"/>
    <col min="4610" max="4610" width="74.625" style="301" customWidth="1"/>
    <col min="4611" max="4611" width="13.875" style="301" customWidth="1"/>
    <col min="4612" max="4612" width="6.25" style="301" customWidth="1"/>
    <col min="4613" max="4613" width="6.125" style="301" customWidth="1"/>
    <col min="4614" max="4614" width="7.75" style="301" customWidth="1"/>
    <col min="4615" max="4615" width="11.875" style="301" customWidth="1"/>
    <col min="4616" max="4616" width="9" style="301"/>
    <col min="4617" max="4617" width="10.125" style="301" bestFit="1" customWidth="1"/>
    <col min="4618" max="4864" width="9" style="301"/>
    <col min="4865" max="4865" width="4.875" style="301" customWidth="1"/>
    <col min="4866" max="4866" width="74.625" style="301" customWidth="1"/>
    <col min="4867" max="4867" width="13.875" style="301" customWidth="1"/>
    <col min="4868" max="4868" width="6.25" style="301" customWidth="1"/>
    <col min="4869" max="4869" width="6.125" style="301" customWidth="1"/>
    <col min="4870" max="4870" width="7.75" style="301" customWidth="1"/>
    <col min="4871" max="4871" width="11.875" style="301" customWidth="1"/>
    <col min="4872" max="4872" width="9" style="301"/>
    <col min="4873" max="4873" width="10.125" style="301" bestFit="1" customWidth="1"/>
    <col min="4874" max="5120" width="9" style="301"/>
    <col min="5121" max="5121" width="4.875" style="301" customWidth="1"/>
    <col min="5122" max="5122" width="74.625" style="301" customWidth="1"/>
    <col min="5123" max="5123" width="13.875" style="301" customWidth="1"/>
    <col min="5124" max="5124" width="6.25" style="301" customWidth="1"/>
    <col min="5125" max="5125" width="6.125" style="301" customWidth="1"/>
    <col min="5126" max="5126" width="7.75" style="301" customWidth="1"/>
    <col min="5127" max="5127" width="11.875" style="301" customWidth="1"/>
    <col min="5128" max="5128" width="9" style="301"/>
    <col min="5129" max="5129" width="10.125" style="301" bestFit="1" customWidth="1"/>
    <col min="5130" max="5376" width="9" style="301"/>
    <col min="5377" max="5377" width="4.875" style="301" customWidth="1"/>
    <col min="5378" max="5378" width="74.625" style="301" customWidth="1"/>
    <col min="5379" max="5379" width="13.875" style="301" customWidth="1"/>
    <col min="5380" max="5380" width="6.25" style="301" customWidth="1"/>
    <col min="5381" max="5381" width="6.125" style="301" customWidth="1"/>
    <col min="5382" max="5382" width="7.75" style="301" customWidth="1"/>
    <col min="5383" max="5383" width="11.875" style="301" customWidth="1"/>
    <col min="5384" max="5384" width="9" style="301"/>
    <col min="5385" max="5385" width="10.125" style="301" bestFit="1" customWidth="1"/>
    <col min="5386" max="5632" width="9" style="301"/>
    <col min="5633" max="5633" width="4.875" style="301" customWidth="1"/>
    <col min="5634" max="5634" width="74.625" style="301" customWidth="1"/>
    <col min="5635" max="5635" width="13.875" style="301" customWidth="1"/>
    <col min="5636" max="5636" width="6.25" style="301" customWidth="1"/>
    <col min="5637" max="5637" width="6.125" style="301" customWidth="1"/>
    <col min="5638" max="5638" width="7.75" style="301" customWidth="1"/>
    <col min="5639" max="5639" width="11.875" style="301" customWidth="1"/>
    <col min="5640" max="5640" width="9" style="301"/>
    <col min="5641" max="5641" width="10.125" style="301" bestFit="1" customWidth="1"/>
    <col min="5642" max="5888" width="9" style="301"/>
    <col min="5889" max="5889" width="4.875" style="301" customWidth="1"/>
    <col min="5890" max="5890" width="74.625" style="301" customWidth="1"/>
    <col min="5891" max="5891" width="13.875" style="301" customWidth="1"/>
    <col min="5892" max="5892" width="6.25" style="301" customWidth="1"/>
    <col min="5893" max="5893" width="6.125" style="301" customWidth="1"/>
    <col min="5894" max="5894" width="7.75" style="301" customWidth="1"/>
    <col min="5895" max="5895" width="11.875" style="301" customWidth="1"/>
    <col min="5896" max="5896" width="9" style="301"/>
    <col min="5897" max="5897" width="10.125" style="301" bestFit="1" customWidth="1"/>
    <col min="5898" max="6144" width="9" style="301"/>
    <col min="6145" max="6145" width="4.875" style="301" customWidth="1"/>
    <col min="6146" max="6146" width="74.625" style="301" customWidth="1"/>
    <col min="6147" max="6147" width="13.875" style="301" customWidth="1"/>
    <col min="6148" max="6148" width="6.25" style="301" customWidth="1"/>
    <col min="6149" max="6149" width="6.125" style="301" customWidth="1"/>
    <col min="6150" max="6150" width="7.75" style="301" customWidth="1"/>
    <col min="6151" max="6151" width="11.875" style="301" customWidth="1"/>
    <col min="6152" max="6152" width="9" style="301"/>
    <col min="6153" max="6153" width="10.125" style="301" bestFit="1" customWidth="1"/>
    <col min="6154" max="6400" width="9" style="301"/>
    <col min="6401" max="6401" width="4.875" style="301" customWidth="1"/>
    <col min="6402" max="6402" width="74.625" style="301" customWidth="1"/>
    <col min="6403" max="6403" width="13.875" style="301" customWidth="1"/>
    <col min="6404" max="6404" width="6.25" style="301" customWidth="1"/>
    <col min="6405" max="6405" width="6.125" style="301" customWidth="1"/>
    <col min="6406" max="6406" width="7.75" style="301" customWidth="1"/>
    <col min="6407" max="6407" width="11.875" style="301" customWidth="1"/>
    <col min="6408" max="6408" width="9" style="301"/>
    <col min="6409" max="6409" width="10.125" style="301" bestFit="1" customWidth="1"/>
    <col min="6410" max="6656" width="9" style="301"/>
    <col min="6657" max="6657" width="4.875" style="301" customWidth="1"/>
    <col min="6658" max="6658" width="74.625" style="301" customWidth="1"/>
    <col min="6659" max="6659" width="13.875" style="301" customWidth="1"/>
    <col min="6660" max="6660" width="6.25" style="301" customWidth="1"/>
    <col min="6661" max="6661" width="6.125" style="301" customWidth="1"/>
    <col min="6662" max="6662" width="7.75" style="301" customWidth="1"/>
    <col min="6663" max="6663" width="11.875" style="301" customWidth="1"/>
    <col min="6664" max="6664" width="9" style="301"/>
    <col min="6665" max="6665" width="10.125" style="301" bestFit="1" customWidth="1"/>
    <col min="6666" max="6912" width="9" style="301"/>
    <col min="6913" max="6913" width="4.875" style="301" customWidth="1"/>
    <col min="6914" max="6914" width="74.625" style="301" customWidth="1"/>
    <col min="6915" max="6915" width="13.875" style="301" customWidth="1"/>
    <col min="6916" max="6916" width="6.25" style="301" customWidth="1"/>
    <col min="6917" max="6917" width="6.125" style="301" customWidth="1"/>
    <col min="6918" max="6918" width="7.75" style="301" customWidth="1"/>
    <col min="6919" max="6919" width="11.875" style="301" customWidth="1"/>
    <col min="6920" max="6920" width="9" style="301"/>
    <col min="6921" max="6921" width="10.125" style="301" bestFit="1" customWidth="1"/>
    <col min="6922" max="7168" width="9" style="301"/>
    <col min="7169" max="7169" width="4.875" style="301" customWidth="1"/>
    <col min="7170" max="7170" width="74.625" style="301" customWidth="1"/>
    <col min="7171" max="7171" width="13.875" style="301" customWidth="1"/>
    <col min="7172" max="7172" width="6.25" style="301" customWidth="1"/>
    <col min="7173" max="7173" width="6.125" style="301" customWidth="1"/>
    <col min="7174" max="7174" width="7.75" style="301" customWidth="1"/>
    <col min="7175" max="7175" width="11.875" style="301" customWidth="1"/>
    <col min="7176" max="7176" width="9" style="301"/>
    <col min="7177" max="7177" width="10.125" style="301" bestFit="1" customWidth="1"/>
    <col min="7178" max="7424" width="9" style="301"/>
    <col min="7425" max="7425" width="4.875" style="301" customWidth="1"/>
    <col min="7426" max="7426" width="74.625" style="301" customWidth="1"/>
    <col min="7427" max="7427" width="13.875" style="301" customWidth="1"/>
    <col min="7428" max="7428" width="6.25" style="301" customWidth="1"/>
    <col min="7429" max="7429" width="6.125" style="301" customWidth="1"/>
    <col min="7430" max="7430" width="7.75" style="301" customWidth="1"/>
    <col min="7431" max="7431" width="11.875" style="301" customWidth="1"/>
    <col min="7432" max="7432" width="9" style="301"/>
    <col min="7433" max="7433" width="10.125" style="301" bestFit="1" customWidth="1"/>
    <col min="7434" max="7680" width="9" style="301"/>
    <col min="7681" max="7681" width="4.875" style="301" customWidth="1"/>
    <col min="7682" max="7682" width="74.625" style="301" customWidth="1"/>
    <col min="7683" max="7683" width="13.875" style="301" customWidth="1"/>
    <col min="7684" max="7684" width="6.25" style="301" customWidth="1"/>
    <col min="7685" max="7685" width="6.125" style="301" customWidth="1"/>
    <col min="7686" max="7686" width="7.75" style="301" customWidth="1"/>
    <col min="7687" max="7687" width="11.875" style="301" customWidth="1"/>
    <col min="7688" max="7688" width="9" style="301"/>
    <col min="7689" max="7689" width="10.125" style="301" bestFit="1" customWidth="1"/>
    <col min="7690" max="7936" width="9" style="301"/>
    <col min="7937" max="7937" width="4.875" style="301" customWidth="1"/>
    <col min="7938" max="7938" width="74.625" style="301" customWidth="1"/>
    <col min="7939" max="7939" width="13.875" style="301" customWidth="1"/>
    <col min="7940" max="7940" width="6.25" style="301" customWidth="1"/>
    <col min="7941" max="7941" width="6.125" style="301" customWidth="1"/>
    <col min="7942" max="7942" width="7.75" style="301" customWidth="1"/>
    <col min="7943" max="7943" width="11.875" style="301" customWidth="1"/>
    <col min="7944" max="7944" width="9" style="301"/>
    <col min="7945" max="7945" width="10.125" style="301" bestFit="1" customWidth="1"/>
    <col min="7946" max="8192" width="9" style="301"/>
    <col min="8193" max="8193" width="4.875" style="301" customWidth="1"/>
    <col min="8194" max="8194" width="74.625" style="301" customWidth="1"/>
    <col min="8195" max="8195" width="13.875" style="301" customWidth="1"/>
    <col min="8196" max="8196" width="6.25" style="301" customWidth="1"/>
    <col min="8197" max="8197" width="6.125" style="301" customWidth="1"/>
    <col min="8198" max="8198" width="7.75" style="301" customWidth="1"/>
    <col min="8199" max="8199" width="11.875" style="301" customWidth="1"/>
    <col min="8200" max="8200" width="9" style="301"/>
    <col min="8201" max="8201" width="10.125" style="301" bestFit="1" customWidth="1"/>
    <col min="8202" max="8448" width="9" style="301"/>
    <col min="8449" max="8449" width="4.875" style="301" customWidth="1"/>
    <col min="8450" max="8450" width="74.625" style="301" customWidth="1"/>
    <col min="8451" max="8451" width="13.875" style="301" customWidth="1"/>
    <col min="8452" max="8452" width="6.25" style="301" customWidth="1"/>
    <col min="8453" max="8453" width="6.125" style="301" customWidth="1"/>
    <col min="8454" max="8454" width="7.75" style="301" customWidth="1"/>
    <col min="8455" max="8455" width="11.875" style="301" customWidth="1"/>
    <col min="8456" max="8456" width="9" style="301"/>
    <col min="8457" max="8457" width="10.125" style="301" bestFit="1" customWidth="1"/>
    <col min="8458" max="8704" width="9" style="301"/>
    <col min="8705" max="8705" width="4.875" style="301" customWidth="1"/>
    <col min="8706" max="8706" width="74.625" style="301" customWidth="1"/>
    <col min="8707" max="8707" width="13.875" style="301" customWidth="1"/>
    <col min="8708" max="8708" width="6.25" style="301" customWidth="1"/>
    <col min="8709" max="8709" width="6.125" style="301" customWidth="1"/>
    <col min="8710" max="8710" width="7.75" style="301" customWidth="1"/>
    <col min="8711" max="8711" width="11.875" style="301" customWidth="1"/>
    <col min="8712" max="8712" width="9" style="301"/>
    <col min="8713" max="8713" width="10.125" style="301" bestFit="1" customWidth="1"/>
    <col min="8714" max="8960" width="9" style="301"/>
    <col min="8961" max="8961" width="4.875" style="301" customWidth="1"/>
    <col min="8962" max="8962" width="74.625" style="301" customWidth="1"/>
    <col min="8963" max="8963" width="13.875" style="301" customWidth="1"/>
    <col min="8964" max="8964" width="6.25" style="301" customWidth="1"/>
    <col min="8965" max="8965" width="6.125" style="301" customWidth="1"/>
    <col min="8966" max="8966" width="7.75" style="301" customWidth="1"/>
    <col min="8967" max="8967" width="11.875" style="301" customWidth="1"/>
    <col min="8968" max="8968" width="9" style="301"/>
    <col min="8969" max="8969" width="10.125" style="301" bestFit="1" customWidth="1"/>
    <col min="8970" max="9216" width="9" style="301"/>
    <col min="9217" max="9217" width="4.875" style="301" customWidth="1"/>
    <col min="9218" max="9218" width="74.625" style="301" customWidth="1"/>
    <col min="9219" max="9219" width="13.875" style="301" customWidth="1"/>
    <col min="9220" max="9220" width="6.25" style="301" customWidth="1"/>
    <col min="9221" max="9221" width="6.125" style="301" customWidth="1"/>
    <col min="9222" max="9222" width="7.75" style="301" customWidth="1"/>
    <col min="9223" max="9223" width="11.875" style="301" customWidth="1"/>
    <col min="9224" max="9224" width="9" style="301"/>
    <col min="9225" max="9225" width="10.125" style="301" bestFit="1" customWidth="1"/>
    <col min="9226" max="9472" width="9" style="301"/>
    <col min="9473" max="9473" width="4.875" style="301" customWidth="1"/>
    <col min="9474" max="9474" width="74.625" style="301" customWidth="1"/>
    <col min="9475" max="9475" width="13.875" style="301" customWidth="1"/>
    <col min="9476" max="9476" width="6.25" style="301" customWidth="1"/>
    <col min="9477" max="9477" width="6.125" style="301" customWidth="1"/>
    <col min="9478" max="9478" width="7.75" style="301" customWidth="1"/>
    <col min="9479" max="9479" width="11.875" style="301" customWidth="1"/>
    <col min="9480" max="9480" width="9" style="301"/>
    <col min="9481" max="9481" width="10.125" style="301" bestFit="1" customWidth="1"/>
    <col min="9482" max="9728" width="9" style="301"/>
    <col min="9729" max="9729" width="4.875" style="301" customWidth="1"/>
    <col min="9730" max="9730" width="74.625" style="301" customWidth="1"/>
    <col min="9731" max="9731" width="13.875" style="301" customWidth="1"/>
    <col min="9732" max="9732" width="6.25" style="301" customWidth="1"/>
    <col min="9733" max="9733" width="6.125" style="301" customWidth="1"/>
    <col min="9734" max="9734" width="7.75" style="301" customWidth="1"/>
    <col min="9735" max="9735" width="11.875" style="301" customWidth="1"/>
    <col min="9736" max="9736" width="9" style="301"/>
    <col min="9737" max="9737" width="10.125" style="301" bestFit="1" customWidth="1"/>
    <col min="9738" max="9984" width="9" style="301"/>
    <col min="9985" max="9985" width="4.875" style="301" customWidth="1"/>
    <col min="9986" max="9986" width="74.625" style="301" customWidth="1"/>
    <col min="9987" max="9987" width="13.875" style="301" customWidth="1"/>
    <col min="9988" max="9988" width="6.25" style="301" customWidth="1"/>
    <col min="9989" max="9989" width="6.125" style="301" customWidth="1"/>
    <col min="9990" max="9990" width="7.75" style="301" customWidth="1"/>
    <col min="9991" max="9991" width="11.875" style="301" customWidth="1"/>
    <col min="9992" max="9992" width="9" style="301"/>
    <col min="9993" max="9993" width="10.125" style="301" bestFit="1" customWidth="1"/>
    <col min="9994" max="10240" width="9" style="301"/>
    <col min="10241" max="10241" width="4.875" style="301" customWidth="1"/>
    <col min="10242" max="10242" width="74.625" style="301" customWidth="1"/>
    <col min="10243" max="10243" width="13.875" style="301" customWidth="1"/>
    <col min="10244" max="10244" width="6.25" style="301" customWidth="1"/>
    <col min="10245" max="10245" width="6.125" style="301" customWidth="1"/>
    <col min="10246" max="10246" width="7.75" style="301" customWidth="1"/>
    <col min="10247" max="10247" width="11.875" style="301" customWidth="1"/>
    <col min="10248" max="10248" width="9" style="301"/>
    <col min="10249" max="10249" width="10.125" style="301" bestFit="1" customWidth="1"/>
    <col min="10250" max="10496" width="9" style="301"/>
    <col min="10497" max="10497" width="4.875" style="301" customWidth="1"/>
    <col min="10498" max="10498" width="74.625" style="301" customWidth="1"/>
    <col min="10499" max="10499" width="13.875" style="301" customWidth="1"/>
    <col min="10500" max="10500" width="6.25" style="301" customWidth="1"/>
    <col min="10501" max="10501" width="6.125" style="301" customWidth="1"/>
    <col min="10502" max="10502" width="7.75" style="301" customWidth="1"/>
    <col min="10503" max="10503" width="11.875" style="301" customWidth="1"/>
    <col min="10504" max="10504" width="9" style="301"/>
    <col min="10505" max="10505" width="10.125" style="301" bestFit="1" customWidth="1"/>
    <col min="10506" max="10752" width="9" style="301"/>
    <col min="10753" max="10753" width="4.875" style="301" customWidth="1"/>
    <col min="10754" max="10754" width="74.625" style="301" customWidth="1"/>
    <col min="10755" max="10755" width="13.875" style="301" customWidth="1"/>
    <col min="10756" max="10756" width="6.25" style="301" customWidth="1"/>
    <col min="10757" max="10757" width="6.125" style="301" customWidth="1"/>
    <col min="10758" max="10758" width="7.75" style="301" customWidth="1"/>
    <col min="10759" max="10759" width="11.875" style="301" customWidth="1"/>
    <col min="10760" max="10760" width="9" style="301"/>
    <col min="10761" max="10761" width="10.125" style="301" bestFit="1" customWidth="1"/>
    <col min="10762" max="11008" width="9" style="301"/>
    <col min="11009" max="11009" width="4.875" style="301" customWidth="1"/>
    <col min="11010" max="11010" width="74.625" style="301" customWidth="1"/>
    <col min="11011" max="11011" width="13.875" style="301" customWidth="1"/>
    <col min="11012" max="11012" width="6.25" style="301" customWidth="1"/>
    <col min="11013" max="11013" width="6.125" style="301" customWidth="1"/>
    <col min="11014" max="11014" width="7.75" style="301" customWidth="1"/>
    <col min="11015" max="11015" width="11.875" style="301" customWidth="1"/>
    <col min="11016" max="11016" width="9" style="301"/>
    <col min="11017" max="11017" width="10.125" style="301" bestFit="1" customWidth="1"/>
    <col min="11018" max="11264" width="9" style="301"/>
    <col min="11265" max="11265" width="4.875" style="301" customWidth="1"/>
    <col min="11266" max="11266" width="74.625" style="301" customWidth="1"/>
    <col min="11267" max="11267" width="13.875" style="301" customWidth="1"/>
    <col min="11268" max="11268" width="6.25" style="301" customWidth="1"/>
    <col min="11269" max="11269" width="6.125" style="301" customWidth="1"/>
    <col min="11270" max="11270" width="7.75" style="301" customWidth="1"/>
    <col min="11271" max="11271" width="11.875" style="301" customWidth="1"/>
    <col min="11272" max="11272" width="9" style="301"/>
    <col min="11273" max="11273" width="10.125" style="301" bestFit="1" customWidth="1"/>
    <col min="11274" max="11520" width="9" style="301"/>
    <col min="11521" max="11521" width="4.875" style="301" customWidth="1"/>
    <col min="11522" max="11522" width="74.625" style="301" customWidth="1"/>
    <col min="11523" max="11523" width="13.875" style="301" customWidth="1"/>
    <col min="11524" max="11524" width="6.25" style="301" customWidth="1"/>
    <col min="11525" max="11525" width="6.125" style="301" customWidth="1"/>
    <col min="11526" max="11526" width="7.75" style="301" customWidth="1"/>
    <col min="11527" max="11527" width="11.875" style="301" customWidth="1"/>
    <col min="11528" max="11528" width="9" style="301"/>
    <col min="11529" max="11529" width="10.125" style="301" bestFit="1" customWidth="1"/>
    <col min="11530" max="11776" width="9" style="301"/>
    <col min="11777" max="11777" width="4.875" style="301" customWidth="1"/>
    <col min="11778" max="11778" width="74.625" style="301" customWidth="1"/>
    <col min="11779" max="11779" width="13.875" style="301" customWidth="1"/>
    <col min="11780" max="11780" width="6.25" style="301" customWidth="1"/>
    <col min="11781" max="11781" width="6.125" style="301" customWidth="1"/>
    <col min="11782" max="11782" width="7.75" style="301" customWidth="1"/>
    <col min="11783" max="11783" width="11.875" style="301" customWidth="1"/>
    <col min="11784" max="11784" width="9" style="301"/>
    <col min="11785" max="11785" width="10.125" style="301" bestFit="1" customWidth="1"/>
    <col min="11786" max="12032" width="9" style="301"/>
    <col min="12033" max="12033" width="4.875" style="301" customWidth="1"/>
    <col min="12034" max="12034" width="74.625" style="301" customWidth="1"/>
    <col min="12035" max="12035" width="13.875" style="301" customWidth="1"/>
    <col min="12036" max="12036" width="6.25" style="301" customWidth="1"/>
    <col min="12037" max="12037" width="6.125" style="301" customWidth="1"/>
    <col min="12038" max="12038" width="7.75" style="301" customWidth="1"/>
    <col min="12039" max="12039" width="11.875" style="301" customWidth="1"/>
    <col min="12040" max="12040" width="9" style="301"/>
    <col min="12041" max="12041" width="10.125" style="301" bestFit="1" customWidth="1"/>
    <col min="12042" max="12288" width="9" style="301"/>
    <col min="12289" max="12289" width="4.875" style="301" customWidth="1"/>
    <col min="12290" max="12290" width="74.625" style="301" customWidth="1"/>
    <col min="12291" max="12291" width="13.875" style="301" customWidth="1"/>
    <col min="12292" max="12292" width="6.25" style="301" customWidth="1"/>
    <col min="12293" max="12293" width="6.125" style="301" customWidth="1"/>
    <col min="12294" max="12294" width="7.75" style="301" customWidth="1"/>
    <col min="12295" max="12295" width="11.875" style="301" customWidth="1"/>
    <col min="12296" max="12296" width="9" style="301"/>
    <col min="12297" max="12297" width="10.125" style="301" bestFit="1" customWidth="1"/>
    <col min="12298" max="12544" width="9" style="301"/>
    <col min="12545" max="12545" width="4.875" style="301" customWidth="1"/>
    <col min="12546" max="12546" width="74.625" style="301" customWidth="1"/>
    <col min="12547" max="12547" width="13.875" style="301" customWidth="1"/>
    <col min="12548" max="12548" width="6.25" style="301" customWidth="1"/>
    <col min="12549" max="12549" width="6.125" style="301" customWidth="1"/>
    <col min="12550" max="12550" width="7.75" style="301" customWidth="1"/>
    <col min="12551" max="12551" width="11.875" style="301" customWidth="1"/>
    <col min="12552" max="12552" width="9" style="301"/>
    <col min="12553" max="12553" width="10.125" style="301" bestFit="1" customWidth="1"/>
    <col min="12554" max="12800" width="9" style="301"/>
    <col min="12801" max="12801" width="4.875" style="301" customWidth="1"/>
    <col min="12802" max="12802" width="74.625" style="301" customWidth="1"/>
    <col min="12803" max="12803" width="13.875" style="301" customWidth="1"/>
    <col min="12804" max="12804" width="6.25" style="301" customWidth="1"/>
    <col min="12805" max="12805" width="6.125" style="301" customWidth="1"/>
    <col min="12806" max="12806" width="7.75" style="301" customWidth="1"/>
    <col min="12807" max="12807" width="11.875" style="301" customWidth="1"/>
    <col min="12808" max="12808" width="9" style="301"/>
    <col min="12809" max="12809" width="10.125" style="301" bestFit="1" customWidth="1"/>
    <col min="12810" max="13056" width="9" style="301"/>
    <col min="13057" max="13057" width="4.875" style="301" customWidth="1"/>
    <col min="13058" max="13058" width="74.625" style="301" customWidth="1"/>
    <col min="13059" max="13059" width="13.875" style="301" customWidth="1"/>
    <col min="13060" max="13060" width="6.25" style="301" customWidth="1"/>
    <col min="13061" max="13061" width="6.125" style="301" customWidth="1"/>
    <col min="13062" max="13062" width="7.75" style="301" customWidth="1"/>
    <col min="13063" max="13063" width="11.875" style="301" customWidth="1"/>
    <col min="13064" max="13064" width="9" style="301"/>
    <col min="13065" max="13065" width="10.125" style="301" bestFit="1" customWidth="1"/>
    <col min="13066" max="13312" width="9" style="301"/>
    <col min="13313" max="13313" width="4.875" style="301" customWidth="1"/>
    <col min="13314" max="13314" width="74.625" style="301" customWidth="1"/>
    <col min="13315" max="13315" width="13.875" style="301" customWidth="1"/>
    <col min="13316" max="13316" width="6.25" style="301" customWidth="1"/>
    <col min="13317" max="13317" width="6.125" style="301" customWidth="1"/>
    <col min="13318" max="13318" width="7.75" style="301" customWidth="1"/>
    <col min="13319" max="13319" width="11.875" style="301" customWidth="1"/>
    <col min="13320" max="13320" width="9" style="301"/>
    <col min="13321" max="13321" width="10.125" style="301" bestFit="1" customWidth="1"/>
    <col min="13322" max="13568" width="9" style="301"/>
    <col min="13569" max="13569" width="4.875" style="301" customWidth="1"/>
    <col min="13570" max="13570" width="74.625" style="301" customWidth="1"/>
    <col min="13571" max="13571" width="13.875" style="301" customWidth="1"/>
    <col min="13572" max="13572" width="6.25" style="301" customWidth="1"/>
    <col min="13573" max="13573" width="6.125" style="301" customWidth="1"/>
    <col min="13574" max="13574" width="7.75" style="301" customWidth="1"/>
    <col min="13575" max="13575" width="11.875" style="301" customWidth="1"/>
    <col min="13576" max="13576" width="9" style="301"/>
    <col min="13577" max="13577" width="10.125" style="301" bestFit="1" customWidth="1"/>
    <col min="13578" max="13824" width="9" style="301"/>
    <col min="13825" max="13825" width="4.875" style="301" customWidth="1"/>
    <col min="13826" max="13826" width="74.625" style="301" customWidth="1"/>
    <col min="13827" max="13827" width="13.875" style="301" customWidth="1"/>
    <col min="13828" max="13828" width="6.25" style="301" customWidth="1"/>
    <col min="13829" max="13829" width="6.125" style="301" customWidth="1"/>
    <col min="13830" max="13830" width="7.75" style="301" customWidth="1"/>
    <col min="13831" max="13831" width="11.875" style="301" customWidth="1"/>
    <col min="13832" max="13832" width="9" style="301"/>
    <col min="13833" max="13833" width="10.125" style="301" bestFit="1" customWidth="1"/>
    <col min="13834" max="14080" width="9" style="301"/>
    <col min="14081" max="14081" width="4.875" style="301" customWidth="1"/>
    <col min="14082" max="14082" width="74.625" style="301" customWidth="1"/>
    <col min="14083" max="14083" width="13.875" style="301" customWidth="1"/>
    <col min="14084" max="14084" width="6.25" style="301" customWidth="1"/>
    <col min="14085" max="14085" width="6.125" style="301" customWidth="1"/>
    <col min="14086" max="14086" width="7.75" style="301" customWidth="1"/>
    <col min="14087" max="14087" width="11.875" style="301" customWidth="1"/>
    <col min="14088" max="14088" width="9" style="301"/>
    <col min="14089" max="14089" width="10.125" style="301" bestFit="1" customWidth="1"/>
    <col min="14090" max="14336" width="9" style="301"/>
    <col min="14337" max="14337" width="4.875" style="301" customWidth="1"/>
    <col min="14338" max="14338" width="74.625" style="301" customWidth="1"/>
    <col min="14339" max="14339" width="13.875" style="301" customWidth="1"/>
    <col min="14340" max="14340" width="6.25" style="301" customWidth="1"/>
    <col min="14341" max="14341" width="6.125" style="301" customWidth="1"/>
    <col min="14342" max="14342" width="7.75" style="301" customWidth="1"/>
    <col min="14343" max="14343" width="11.875" style="301" customWidth="1"/>
    <col min="14344" max="14344" width="9" style="301"/>
    <col min="14345" max="14345" width="10.125" style="301" bestFit="1" customWidth="1"/>
    <col min="14346" max="14592" width="9" style="301"/>
    <col min="14593" max="14593" width="4.875" style="301" customWidth="1"/>
    <col min="14594" max="14594" width="74.625" style="301" customWidth="1"/>
    <col min="14595" max="14595" width="13.875" style="301" customWidth="1"/>
    <col min="14596" max="14596" width="6.25" style="301" customWidth="1"/>
    <col min="14597" max="14597" width="6.125" style="301" customWidth="1"/>
    <col min="14598" max="14598" width="7.75" style="301" customWidth="1"/>
    <col min="14599" max="14599" width="11.875" style="301" customWidth="1"/>
    <col min="14600" max="14600" width="9" style="301"/>
    <col min="14601" max="14601" width="10.125" style="301" bestFit="1" customWidth="1"/>
    <col min="14602" max="14848" width="9" style="301"/>
    <col min="14849" max="14849" width="4.875" style="301" customWidth="1"/>
    <col min="14850" max="14850" width="74.625" style="301" customWidth="1"/>
    <col min="14851" max="14851" width="13.875" style="301" customWidth="1"/>
    <col min="14852" max="14852" width="6.25" style="301" customWidth="1"/>
    <col min="14853" max="14853" width="6.125" style="301" customWidth="1"/>
    <col min="14854" max="14854" width="7.75" style="301" customWidth="1"/>
    <col min="14855" max="14855" width="11.875" style="301" customWidth="1"/>
    <col min="14856" max="14856" width="9" style="301"/>
    <col min="14857" max="14857" width="10.125" style="301" bestFit="1" customWidth="1"/>
    <col min="14858" max="15104" width="9" style="301"/>
    <col min="15105" max="15105" width="4.875" style="301" customWidth="1"/>
    <col min="15106" max="15106" width="74.625" style="301" customWidth="1"/>
    <col min="15107" max="15107" width="13.875" style="301" customWidth="1"/>
    <col min="15108" max="15108" width="6.25" style="301" customWidth="1"/>
    <col min="15109" max="15109" width="6.125" style="301" customWidth="1"/>
    <col min="15110" max="15110" width="7.75" style="301" customWidth="1"/>
    <col min="15111" max="15111" width="11.875" style="301" customWidth="1"/>
    <col min="15112" max="15112" width="9" style="301"/>
    <col min="15113" max="15113" width="10.125" style="301" bestFit="1" customWidth="1"/>
    <col min="15114" max="15360" width="9" style="301"/>
    <col min="15361" max="15361" width="4.875" style="301" customWidth="1"/>
    <col min="15362" max="15362" width="74.625" style="301" customWidth="1"/>
    <col min="15363" max="15363" width="13.875" style="301" customWidth="1"/>
    <col min="15364" max="15364" width="6.25" style="301" customWidth="1"/>
    <col min="15365" max="15365" width="6.125" style="301" customWidth="1"/>
    <col min="15366" max="15366" width="7.75" style="301" customWidth="1"/>
    <col min="15367" max="15367" width="11.875" style="301" customWidth="1"/>
    <col min="15368" max="15368" width="9" style="301"/>
    <col min="15369" max="15369" width="10.125" style="301" bestFit="1" customWidth="1"/>
    <col min="15370" max="15616" width="9" style="301"/>
    <col min="15617" max="15617" width="4.875" style="301" customWidth="1"/>
    <col min="15618" max="15618" width="74.625" style="301" customWidth="1"/>
    <col min="15619" max="15619" width="13.875" style="301" customWidth="1"/>
    <col min="15620" max="15620" width="6.25" style="301" customWidth="1"/>
    <col min="15621" max="15621" width="6.125" style="301" customWidth="1"/>
    <col min="15622" max="15622" width="7.75" style="301" customWidth="1"/>
    <col min="15623" max="15623" width="11.875" style="301" customWidth="1"/>
    <col min="15624" max="15624" width="9" style="301"/>
    <col min="15625" max="15625" width="10.125" style="301" bestFit="1" customWidth="1"/>
    <col min="15626" max="15872" width="9" style="301"/>
    <col min="15873" max="15873" width="4.875" style="301" customWidth="1"/>
    <col min="15874" max="15874" width="74.625" style="301" customWidth="1"/>
    <col min="15875" max="15875" width="13.875" style="301" customWidth="1"/>
    <col min="15876" max="15876" width="6.25" style="301" customWidth="1"/>
    <col min="15877" max="15877" width="6.125" style="301" customWidth="1"/>
    <col min="15878" max="15878" width="7.75" style="301" customWidth="1"/>
    <col min="15879" max="15879" width="11.875" style="301" customWidth="1"/>
    <col min="15880" max="15880" width="9" style="301"/>
    <col min="15881" max="15881" width="10.125" style="301" bestFit="1" customWidth="1"/>
    <col min="15882" max="16128" width="9" style="301"/>
    <col min="16129" max="16129" width="4.875" style="301" customWidth="1"/>
    <col min="16130" max="16130" width="74.625" style="301" customWidth="1"/>
    <col min="16131" max="16131" width="13.875" style="301" customWidth="1"/>
    <col min="16132" max="16132" width="6.25" style="301" customWidth="1"/>
    <col min="16133" max="16133" width="6.125" style="301" customWidth="1"/>
    <col min="16134" max="16134" width="7.75" style="301" customWidth="1"/>
    <col min="16135" max="16135" width="11.875" style="301" customWidth="1"/>
    <col min="16136" max="16136" width="9" style="301"/>
    <col min="16137" max="16137" width="10.125" style="301" bestFit="1" customWidth="1"/>
    <col min="16138" max="16384" width="9" style="301"/>
  </cols>
  <sheetData>
    <row r="1" spans="1:10" ht="39.75" customHeight="1" x14ac:dyDescent="0.25">
      <c r="A1" s="520" t="s">
        <v>331</v>
      </c>
      <c r="B1" s="520"/>
      <c r="C1" s="520"/>
      <c r="D1" s="520"/>
      <c r="E1" s="520"/>
      <c r="F1" s="520"/>
      <c r="G1" s="520"/>
    </row>
    <row r="2" spans="1:10" ht="18.75" x14ac:dyDescent="0.25">
      <c r="A2" s="521" t="s">
        <v>460</v>
      </c>
      <c r="B2" s="521"/>
      <c r="C2" s="521"/>
      <c r="D2" s="521"/>
      <c r="E2" s="521"/>
      <c r="F2" s="521"/>
      <c r="G2" s="521"/>
    </row>
    <row r="3" spans="1:10" ht="16.5" customHeight="1" x14ac:dyDescent="0.25">
      <c r="A3" s="302"/>
      <c r="B3" s="302"/>
      <c r="C3" s="302"/>
      <c r="D3" s="302"/>
      <c r="E3" s="522" t="s">
        <v>332</v>
      </c>
      <c r="F3" s="522"/>
      <c r="G3" s="522"/>
    </row>
    <row r="4" spans="1:10" x14ac:dyDescent="0.25">
      <c r="A4" s="523" t="s">
        <v>333</v>
      </c>
      <c r="B4" s="523" t="s">
        <v>334</v>
      </c>
      <c r="C4" s="524" t="s">
        <v>21</v>
      </c>
      <c r="D4" s="523" t="s">
        <v>85</v>
      </c>
      <c r="E4" s="526" t="s">
        <v>335</v>
      </c>
      <c r="F4" s="523" t="s">
        <v>336</v>
      </c>
      <c r="G4" s="527" t="s">
        <v>337</v>
      </c>
    </row>
    <row r="5" spans="1:10" ht="18" customHeight="1" x14ac:dyDescent="0.25">
      <c r="A5" s="523"/>
      <c r="B5" s="523"/>
      <c r="C5" s="525"/>
      <c r="D5" s="523"/>
      <c r="E5" s="526"/>
      <c r="F5" s="523"/>
      <c r="G5" s="527"/>
      <c r="I5" s="303"/>
    </row>
    <row r="6" spans="1:10" ht="24" customHeight="1" x14ac:dyDescent="0.25">
      <c r="A6" s="518" t="s">
        <v>338</v>
      </c>
      <c r="B6" s="519"/>
      <c r="C6" s="304"/>
      <c r="D6" s="305"/>
      <c r="E6" s="306"/>
      <c r="F6" s="305"/>
      <c r="G6" s="401">
        <f>G8+G15+G21+G26+G27+G28+G29+G33+G34+G37</f>
        <v>336587</v>
      </c>
      <c r="H6" s="300">
        <v>336587101</v>
      </c>
      <c r="I6" s="308">
        <f>G7+G37</f>
        <v>336587</v>
      </c>
      <c r="J6" s="303"/>
    </row>
    <row r="7" spans="1:10" ht="21" customHeight="1" x14ac:dyDescent="0.25">
      <c r="A7" s="309" t="s">
        <v>339</v>
      </c>
      <c r="B7" s="310" t="s">
        <v>340</v>
      </c>
      <c r="C7" s="311"/>
      <c r="D7" s="309"/>
      <c r="E7" s="312"/>
      <c r="F7" s="309"/>
      <c r="G7" s="313">
        <f>G8+G15+G21+G26+G27+G28+G29+G33+G34</f>
        <v>151409.10036363639</v>
      </c>
      <c r="H7" s="440">
        <v>336587030</v>
      </c>
      <c r="I7" s="303"/>
      <c r="J7" s="303"/>
    </row>
    <row r="8" spans="1:10" ht="71.25" customHeight="1" x14ac:dyDescent="0.25">
      <c r="A8" s="309" t="s">
        <v>341</v>
      </c>
      <c r="B8" s="314" t="s">
        <v>342</v>
      </c>
      <c r="C8" s="315"/>
      <c r="D8" s="315"/>
      <c r="E8" s="316"/>
      <c r="F8" s="315"/>
      <c r="G8" s="313">
        <f>SUM(G9:G14)</f>
        <v>63260</v>
      </c>
      <c r="H8" s="300">
        <f>G8+G15+G21+G26+G27+G34+G37+G31+G32</f>
        <v>322837.89963636361</v>
      </c>
      <c r="I8" s="303">
        <f>G8+G15+G21+G26+G27+G28+G31+G32+G34+G37</f>
        <v>322837.89963636361</v>
      </c>
      <c r="J8" s="303"/>
    </row>
    <row r="9" spans="1:10" ht="20.100000000000001" customHeight="1" x14ac:dyDescent="0.25">
      <c r="A9" s="317">
        <v>1</v>
      </c>
      <c r="B9" s="318" t="s">
        <v>343</v>
      </c>
      <c r="C9" s="317" t="s">
        <v>344</v>
      </c>
      <c r="D9" s="317">
        <v>9</v>
      </c>
      <c r="E9" s="319">
        <v>200</v>
      </c>
      <c r="F9" s="317">
        <v>2</v>
      </c>
      <c r="G9" s="320">
        <f t="shared" ref="G9:G14" si="0">D9*E9*F9</f>
        <v>3600</v>
      </c>
    </row>
    <row r="10" spans="1:10" ht="20.100000000000001" customHeight="1" x14ac:dyDescent="0.25">
      <c r="A10" s="317">
        <v>2</v>
      </c>
      <c r="B10" s="473" t="s">
        <v>345</v>
      </c>
      <c r="C10" s="321" t="s">
        <v>344</v>
      </c>
      <c r="D10" s="321">
        <v>12</v>
      </c>
      <c r="E10" s="322">
        <v>200</v>
      </c>
      <c r="F10" s="321">
        <v>5</v>
      </c>
      <c r="G10" s="320">
        <f t="shared" si="0"/>
        <v>12000</v>
      </c>
    </row>
    <row r="11" spans="1:10" ht="31.5" x14ac:dyDescent="0.25">
      <c r="A11" s="317">
        <v>3</v>
      </c>
      <c r="B11" s="323" t="s">
        <v>412</v>
      </c>
      <c r="C11" s="321" t="s">
        <v>344</v>
      </c>
      <c r="D11" s="321">
        <v>13</v>
      </c>
      <c r="E11" s="322">
        <v>200</v>
      </c>
      <c r="F11" s="321">
        <v>15</v>
      </c>
      <c r="G11" s="320">
        <f t="shared" si="0"/>
        <v>39000</v>
      </c>
    </row>
    <row r="12" spans="1:10" ht="15.75" x14ac:dyDescent="0.25">
      <c r="A12" s="317">
        <v>4</v>
      </c>
      <c r="B12" s="400" t="s">
        <v>413</v>
      </c>
      <c r="C12" s="321" t="s">
        <v>344</v>
      </c>
      <c r="D12" s="321">
        <v>14</v>
      </c>
      <c r="E12" s="322">
        <v>200</v>
      </c>
      <c r="F12" s="321">
        <v>1</v>
      </c>
      <c r="G12" s="320">
        <f t="shared" si="0"/>
        <v>2800</v>
      </c>
    </row>
    <row r="13" spans="1:10" ht="20.100000000000001" customHeight="1" x14ac:dyDescent="0.25">
      <c r="A13" s="317">
        <v>5</v>
      </c>
      <c r="B13" s="324" t="s">
        <v>346</v>
      </c>
      <c r="C13" s="321" t="s">
        <v>347</v>
      </c>
      <c r="D13" s="321">
        <v>1</v>
      </c>
      <c r="E13" s="322">
        <v>300</v>
      </c>
      <c r="F13" s="321">
        <f>F10</f>
        <v>5</v>
      </c>
      <c r="G13" s="320">
        <f t="shared" si="0"/>
        <v>1500</v>
      </c>
    </row>
    <row r="14" spans="1:10" ht="31.5" x14ac:dyDescent="0.25">
      <c r="A14" s="317">
        <v>6</v>
      </c>
      <c r="B14" s="325" t="s">
        <v>348</v>
      </c>
      <c r="C14" s="326" t="s">
        <v>349</v>
      </c>
      <c r="D14" s="326">
        <f>(D10*F10)+(D12*F12)+(D16*F16)+(D17*F17)+(D18*F18)+(D19*F19)+(D20*F20)+(D24*F24)</f>
        <v>218</v>
      </c>
      <c r="E14" s="327">
        <v>20</v>
      </c>
      <c r="F14" s="326">
        <v>1</v>
      </c>
      <c r="G14" s="320">
        <f t="shared" si="0"/>
        <v>4360</v>
      </c>
    </row>
    <row r="15" spans="1:10" s="330" customFormat="1" ht="173.25" x14ac:dyDescent="0.25">
      <c r="A15" s="309" t="s">
        <v>350</v>
      </c>
      <c r="B15" s="328" t="s">
        <v>351</v>
      </c>
      <c r="C15" s="309"/>
      <c r="D15" s="309"/>
      <c r="E15" s="312"/>
      <c r="F15" s="309"/>
      <c r="G15" s="313">
        <f>SUM(G16:G20)</f>
        <v>37200</v>
      </c>
      <c r="H15" s="329"/>
    </row>
    <row r="16" spans="1:10" ht="24" customHeight="1" x14ac:dyDescent="0.25">
      <c r="A16" s="331">
        <v>1</v>
      </c>
      <c r="B16" s="332" t="s">
        <v>352</v>
      </c>
      <c r="C16" s="331" t="s">
        <v>344</v>
      </c>
      <c r="D16" s="331">
        <v>2</v>
      </c>
      <c r="E16" s="333">
        <v>300</v>
      </c>
      <c r="F16" s="331">
        <v>3</v>
      </c>
      <c r="G16" s="334">
        <f>D16*E16*F16</f>
        <v>1800</v>
      </c>
    </row>
    <row r="17" spans="1:9" ht="31.5" x14ac:dyDescent="0.25">
      <c r="A17" s="321">
        <v>2</v>
      </c>
      <c r="B17" s="335" t="s">
        <v>353</v>
      </c>
      <c r="C17" s="321" t="s">
        <v>344</v>
      </c>
      <c r="D17" s="321">
        <v>3</v>
      </c>
      <c r="E17" s="322">
        <v>300</v>
      </c>
      <c r="F17" s="321">
        <v>10</v>
      </c>
      <c r="G17" s="336">
        <f>D17*E17*F17</f>
        <v>9000</v>
      </c>
    </row>
    <row r="18" spans="1:9" ht="31.5" x14ac:dyDescent="0.25">
      <c r="A18" s="321">
        <v>3</v>
      </c>
      <c r="B18" s="335" t="s">
        <v>414</v>
      </c>
      <c r="C18" s="321" t="s">
        <v>344</v>
      </c>
      <c r="D18" s="321">
        <v>14</v>
      </c>
      <c r="E18" s="322">
        <v>300</v>
      </c>
      <c r="F18" s="321">
        <v>2</v>
      </c>
      <c r="G18" s="336">
        <f>D18*E18*F18</f>
        <v>8400</v>
      </c>
    </row>
    <row r="19" spans="1:9" ht="31.5" x14ac:dyDescent="0.25">
      <c r="A19" s="321">
        <v>4</v>
      </c>
      <c r="B19" s="335" t="s">
        <v>416</v>
      </c>
      <c r="C19" s="321" t="s">
        <v>344</v>
      </c>
      <c r="D19" s="321">
        <v>3</v>
      </c>
      <c r="E19" s="322">
        <v>300</v>
      </c>
      <c r="F19" s="321">
        <v>10</v>
      </c>
      <c r="G19" s="336">
        <f>D19*E19*F19</f>
        <v>9000</v>
      </c>
    </row>
    <row r="20" spans="1:9" ht="24" customHeight="1" x14ac:dyDescent="0.25">
      <c r="A20" s="337">
        <v>5</v>
      </c>
      <c r="B20" s="338" t="s">
        <v>354</v>
      </c>
      <c r="C20" s="337" t="s">
        <v>344</v>
      </c>
      <c r="D20" s="337">
        <v>3</v>
      </c>
      <c r="E20" s="339">
        <v>300</v>
      </c>
      <c r="F20" s="337">
        <v>10</v>
      </c>
      <c r="G20" s="340">
        <f>D20*E20*F20</f>
        <v>9000</v>
      </c>
    </row>
    <row r="21" spans="1:9" s="330" customFormat="1" ht="47.25" x14ac:dyDescent="0.25">
      <c r="A21" s="309" t="s">
        <v>355</v>
      </c>
      <c r="B21" s="314" t="s">
        <v>356</v>
      </c>
      <c r="C21" s="315" t="s">
        <v>344</v>
      </c>
      <c r="D21" s="315"/>
      <c r="E21" s="312"/>
      <c r="F21" s="309"/>
      <c r="G21" s="313">
        <f>SUM(G22:G25)</f>
        <v>17000</v>
      </c>
      <c r="H21" s="341">
        <f>H6*0.05</f>
        <v>16829355.050000001</v>
      </c>
      <c r="I21" s="342">
        <v>0.05</v>
      </c>
    </row>
    <row r="22" spans="1:9" ht="22.5" customHeight="1" x14ac:dyDescent="0.25">
      <c r="A22" s="331">
        <v>1</v>
      </c>
      <c r="B22" s="343" t="s">
        <v>415</v>
      </c>
      <c r="C22" s="331" t="s">
        <v>344</v>
      </c>
      <c r="D22" s="331">
        <v>3</v>
      </c>
      <c r="E22" s="333">
        <v>200</v>
      </c>
      <c r="F22" s="331">
        <v>5</v>
      </c>
      <c r="G22" s="334">
        <f t="shared" ref="G22:G27" si="1">D22*E22*F22</f>
        <v>3000</v>
      </c>
    </row>
    <row r="23" spans="1:9" ht="22.5" customHeight="1" x14ac:dyDescent="0.25">
      <c r="A23" s="321">
        <v>2</v>
      </c>
      <c r="B23" s="350" t="s">
        <v>357</v>
      </c>
      <c r="C23" s="321" t="s">
        <v>344</v>
      </c>
      <c r="D23" s="321">
        <v>3</v>
      </c>
      <c r="E23" s="322">
        <v>200</v>
      </c>
      <c r="F23" s="321">
        <v>10</v>
      </c>
      <c r="G23" s="336">
        <f t="shared" si="1"/>
        <v>6000</v>
      </c>
    </row>
    <row r="24" spans="1:9" ht="33" customHeight="1" x14ac:dyDescent="0.25">
      <c r="A24" s="321">
        <v>3</v>
      </c>
      <c r="B24" s="350" t="s">
        <v>432</v>
      </c>
      <c r="C24" s="321" t="s">
        <v>344</v>
      </c>
      <c r="D24" s="321">
        <v>10</v>
      </c>
      <c r="E24" s="322">
        <v>200</v>
      </c>
      <c r="F24" s="321">
        <v>2</v>
      </c>
      <c r="G24" s="336">
        <f t="shared" si="1"/>
        <v>4000</v>
      </c>
    </row>
    <row r="25" spans="1:9" ht="24.75" customHeight="1" x14ac:dyDescent="0.25">
      <c r="A25" s="337">
        <v>4</v>
      </c>
      <c r="B25" s="344" t="s">
        <v>358</v>
      </c>
      <c r="C25" s="337" t="s">
        <v>344</v>
      </c>
      <c r="D25" s="337">
        <v>10</v>
      </c>
      <c r="E25" s="339">
        <v>200</v>
      </c>
      <c r="F25" s="337">
        <v>2</v>
      </c>
      <c r="G25" s="340">
        <f t="shared" si="1"/>
        <v>4000</v>
      </c>
      <c r="I25" s="303"/>
    </row>
    <row r="26" spans="1:9" s="330" customFormat="1" ht="33" customHeight="1" x14ac:dyDescent="0.25">
      <c r="A26" s="309" t="s">
        <v>359</v>
      </c>
      <c r="B26" s="314" t="s">
        <v>360</v>
      </c>
      <c r="C26" s="315" t="s">
        <v>344</v>
      </c>
      <c r="D26" s="345">
        <v>6</v>
      </c>
      <c r="E26" s="346">
        <v>200</v>
      </c>
      <c r="F26" s="315">
        <v>3</v>
      </c>
      <c r="G26" s="313">
        <f t="shared" si="1"/>
        <v>3600</v>
      </c>
      <c r="H26" s="329"/>
    </row>
    <row r="27" spans="1:9" s="330" customFormat="1" ht="48.75" customHeight="1" x14ac:dyDescent="0.25">
      <c r="A27" s="309" t="s">
        <v>361</v>
      </c>
      <c r="B27" s="347" t="s">
        <v>362</v>
      </c>
      <c r="C27" s="315" t="s">
        <v>344</v>
      </c>
      <c r="D27" s="315">
        <v>3</v>
      </c>
      <c r="E27" s="316">
        <v>200</v>
      </c>
      <c r="F27" s="315">
        <v>6</v>
      </c>
      <c r="G27" s="313">
        <f t="shared" si="1"/>
        <v>3600</v>
      </c>
      <c r="H27" s="329"/>
    </row>
    <row r="28" spans="1:9" s="330" customFormat="1" ht="33.75" customHeight="1" x14ac:dyDescent="0.25">
      <c r="A28" s="309" t="s">
        <v>363</v>
      </c>
      <c r="B28" s="314" t="s">
        <v>364</v>
      </c>
      <c r="C28" s="315"/>
      <c r="D28" s="348">
        <v>0</v>
      </c>
      <c r="E28" s="316"/>
      <c r="F28" s="348">
        <v>0</v>
      </c>
      <c r="G28" s="313">
        <v>0</v>
      </c>
      <c r="H28" s="329"/>
    </row>
    <row r="29" spans="1:9" s="330" customFormat="1" ht="31.5" x14ac:dyDescent="0.25">
      <c r="A29" s="309" t="s">
        <v>365</v>
      </c>
      <c r="B29" s="349" t="s">
        <v>366</v>
      </c>
      <c r="C29" s="315"/>
      <c r="D29" s="315"/>
      <c r="E29" s="316"/>
      <c r="F29" s="315"/>
      <c r="G29" s="313">
        <f>G30+G31+G32</f>
        <v>21749.100363636389</v>
      </c>
      <c r="H29" s="329"/>
    </row>
    <row r="30" spans="1:9" ht="22.5" customHeight="1" x14ac:dyDescent="0.25">
      <c r="A30" s="331">
        <v>1</v>
      </c>
      <c r="B30" s="343" t="s">
        <v>367</v>
      </c>
      <c r="C30" s="331"/>
      <c r="D30" s="331"/>
      <c r="E30" s="333"/>
      <c r="F30" s="331"/>
      <c r="G30" s="402">
        <f>336587-H8</f>
        <v>13749.100363636389</v>
      </c>
    </row>
    <row r="31" spans="1:9" ht="22.5" customHeight="1" x14ac:dyDescent="0.25">
      <c r="A31" s="321">
        <v>2</v>
      </c>
      <c r="B31" s="350" t="s">
        <v>368</v>
      </c>
      <c r="C31" s="321" t="s">
        <v>369</v>
      </c>
      <c r="D31" s="321">
        <v>4</v>
      </c>
      <c r="E31" s="322">
        <v>200</v>
      </c>
      <c r="F31" s="321">
        <v>4</v>
      </c>
      <c r="G31" s="336">
        <f>D31*E31*F31</f>
        <v>3200</v>
      </c>
    </row>
    <row r="32" spans="1:9" ht="22.5" customHeight="1" x14ac:dyDescent="0.25">
      <c r="A32" s="337">
        <v>3</v>
      </c>
      <c r="B32" s="344" t="s">
        <v>370</v>
      </c>
      <c r="C32" s="337" t="s">
        <v>369</v>
      </c>
      <c r="D32" s="337">
        <v>4</v>
      </c>
      <c r="E32" s="339">
        <v>300</v>
      </c>
      <c r="F32" s="337">
        <v>4</v>
      </c>
      <c r="G32" s="340">
        <f>D32*E32*F32</f>
        <v>4800</v>
      </c>
    </row>
    <row r="33" spans="1:8" s="330" customFormat="1" ht="22.5" customHeight="1" x14ac:dyDescent="0.25">
      <c r="A33" s="309" t="s">
        <v>371</v>
      </c>
      <c r="B33" s="441" t="s">
        <v>372</v>
      </c>
      <c r="C33" s="315" t="s">
        <v>344</v>
      </c>
      <c r="D33" s="442">
        <v>0</v>
      </c>
      <c r="E33" s="316">
        <v>200</v>
      </c>
      <c r="F33" s="442">
        <v>0</v>
      </c>
      <c r="G33" s="313">
        <f>D33*E33*F33</f>
        <v>0</v>
      </c>
      <c r="H33" s="329"/>
    </row>
    <row r="34" spans="1:8" s="330" customFormat="1" ht="31.5" x14ac:dyDescent="0.25">
      <c r="A34" s="309" t="s">
        <v>373</v>
      </c>
      <c r="B34" s="328" t="s">
        <v>374</v>
      </c>
      <c r="C34" s="315"/>
      <c r="D34" s="315"/>
      <c r="E34" s="316"/>
      <c r="F34" s="315"/>
      <c r="G34" s="313">
        <f>G35+G36</f>
        <v>5000</v>
      </c>
      <c r="H34" s="329"/>
    </row>
    <row r="35" spans="1:8" ht="22.5" customHeight="1" x14ac:dyDescent="0.25">
      <c r="A35" s="321">
        <v>1</v>
      </c>
      <c r="B35" s="350" t="s">
        <v>375</v>
      </c>
      <c r="C35" s="321" t="s">
        <v>376</v>
      </c>
      <c r="D35" s="321"/>
      <c r="E35" s="322">
        <v>500</v>
      </c>
      <c r="F35" s="321"/>
      <c r="G35" s="336">
        <f>D35*E35*F35</f>
        <v>0</v>
      </c>
    </row>
    <row r="36" spans="1:8" ht="22.5" customHeight="1" x14ac:dyDescent="0.25">
      <c r="A36" s="351">
        <v>2</v>
      </c>
      <c r="B36" s="352" t="s">
        <v>377</v>
      </c>
      <c r="C36" s="351" t="s">
        <v>347</v>
      </c>
      <c r="D36" s="351"/>
      <c r="E36" s="353">
        <v>150</v>
      </c>
      <c r="F36" s="351"/>
      <c r="G36" s="336">
        <v>5000</v>
      </c>
    </row>
    <row r="37" spans="1:8" ht="22.5" customHeight="1" x14ac:dyDescent="0.25">
      <c r="A37" s="305" t="s">
        <v>378</v>
      </c>
      <c r="B37" s="354" t="s">
        <v>379</v>
      </c>
      <c r="C37" s="355"/>
      <c r="D37" s="355"/>
      <c r="E37" s="356"/>
      <c r="F37" s="355"/>
      <c r="G37" s="307">
        <f>SUM(G38:G40)</f>
        <v>185177.89963636361</v>
      </c>
    </row>
    <row r="38" spans="1:8" ht="22.5" customHeight="1" x14ac:dyDescent="0.25">
      <c r="A38" s="331">
        <v>1</v>
      </c>
      <c r="B38" s="332" t="s">
        <v>380</v>
      </c>
      <c r="C38" s="331" t="s">
        <v>381</v>
      </c>
      <c r="D38" s="331">
        <v>4</v>
      </c>
      <c r="E38" s="333">
        <f>2340*3.66/22</f>
        <v>389.29090909090905</v>
      </c>
      <c r="F38" s="357">
        <f>22*4</f>
        <v>88</v>
      </c>
      <c r="G38" s="334">
        <f>D38*E38*F38</f>
        <v>137030.39999999999</v>
      </c>
    </row>
    <row r="39" spans="1:8" ht="22.5" customHeight="1" x14ac:dyDescent="0.25">
      <c r="A39" s="321">
        <v>2</v>
      </c>
      <c r="B39" s="350" t="s">
        <v>382</v>
      </c>
      <c r="C39" s="321" t="s">
        <v>381</v>
      </c>
      <c r="D39" s="321">
        <v>4</v>
      </c>
      <c r="E39" s="322">
        <f>E38*21.5%</f>
        <v>83.697545454545448</v>
      </c>
      <c r="F39" s="321">
        <v>88</v>
      </c>
      <c r="G39" s="336">
        <f>D39*E39*F39</f>
        <v>29461.535999999996</v>
      </c>
    </row>
    <row r="40" spans="1:8" ht="22.5" customHeight="1" x14ac:dyDescent="0.25">
      <c r="A40" s="337">
        <v>3</v>
      </c>
      <c r="B40" s="344" t="s">
        <v>383</v>
      </c>
      <c r="C40" s="337" t="s">
        <v>384</v>
      </c>
      <c r="D40" s="337">
        <v>4</v>
      </c>
      <c r="E40" s="339">
        <f>2340*3.66/22/8*2</f>
        <v>97.322727272727263</v>
      </c>
      <c r="F40" s="337">
        <v>48</v>
      </c>
      <c r="G40" s="340">
        <f>D40*E40*F40</f>
        <v>18685.963636363635</v>
      </c>
      <c r="H40" s="300">
        <f>12*4</f>
        <v>48</v>
      </c>
    </row>
    <row r="42" spans="1:8" x14ac:dyDescent="0.25">
      <c r="H42" s="300">
        <f>4*8</f>
        <v>32</v>
      </c>
    </row>
  </sheetData>
  <mergeCells count="11">
    <mergeCell ref="A6:B6"/>
    <mergeCell ref="A1:G1"/>
    <mergeCell ref="A2:G2"/>
    <mergeCell ref="E3:G3"/>
    <mergeCell ref="A4:A5"/>
    <mergeCell ref="B4:B5"/>
    <mergeCell ref="C4:C5"/>
    <mergeCell ref="D4:D5"/>
    <mergeCell ref="E4:E5"/>
    <mergeCell ref="F4:F5"/>
    <mergeCell ref="G4:G5"/>
  </mergeCells>
  <pageMargins left="0.2" right="0.2" top="0.3" bottom="0.25" header="0.3" footer="0.3"/>
  <pageSetup paperSize="9" orientation="landscape" verticalDpi="0"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14"/>
  <sheetViews>
    <sheetView workbookViewId="0">
      <selection activeCell="A3" sqref="A3:I3"/>
    </sheetView>
  </sheetViews>
  <sheetFormatPr defaultColWidth="9.375" defaultRowHeight="18.75" x14ac:dyDescent="0.25"/>
  <cols>
    <col min="1" max="1" width="5.125" style="360" customWidth="1"/>
    <col min="2" max="2" width="24.875" style="374" customWidth="1"/>
    <col min="3" max="3" width="10.75" style="360" customWidth="1"/>
    <col min="4" max="4" width="13.625" style="360" bestFit="1" customWidth="1"/>
    <col min="5" max="5" width="13.125" style="360" customWidth="1"/>
    <col min="6" max="7" width="15.125" style="360" customWidth="1"/>
    <col min="8" max="8" width="19.25" style="360" customWidth="1"/>
    <col min="9" max="9" width="16.875" style="360" customWidth="1"/>
    <col min="10" max="10" width="2" style="360" customWidth="1"/>
    <col min="11" max="11" width="16.75" style="360" customWidth="1"/>
    <col min="12" max="12" width="9.375" style="360"/>
    <col min="13" max="13" width="13" style="360" bestFit="1" customWidth="1"/>
    <col min="14" max="16384" width="9.375" style="360"/>
  </cols>
  <sheetData>
    <row r="1" spans="1:11" s="358" customFormat="1" ht="39" customHeight="1" x14ac:dyDescent="0.25">
      <c r="A1" s="529" t="s">
        <v>411</v>
      </c>
      <c r="B1" s="529"/>
      <c r="C1" s="529"/>
      <c r="D1" s="529"/>
      <c r="E1" s="529"/>
      <c r="F1" s="529"/>
      <c r="G1" s="529"/>
      <c r="H1" s="529"/>
      <c r="I1" s="529"/>
    </row>
    <row r="2" spans="1:11" s="358" customFormat="1" x14ac:dyDescent="0.25">
      <c r="A2" s="529" t="s">
        <v>29</v>
      </c>
      <c r="B2" s="529"/>
      <c r="C2" s="529"/>
      <c r="D2" s="529"/>
      <c r="E2" s="529"/>
      <c r="F2" s="529"/>
      <c r="G2" s="529"/>
      <c r="H2" s="529"/>
      <c r="I2" s="529"/>
    </row>
    <row r="3" spans="1:11" s="358" customFormat="1" x14ac:dyDescent="0.25">
      <c r="A3" s="528" t="s">
        <v>460</v>
      </c>
      <c r="B3" s="528"/>
      <c r="C3" s="528"/>
      <c r="D3" s="528"/>
      <c r="E3" s="528"/>
      <c r="F3" s="528"/>
      <c r="G3" s="528"/>
      <c r="H3" s="528"/>
      <c r="I3" s="528"/>
    </row>
    <row r="4" spans="1:11" x14ac:dyDescent="0.25">
      <c r="A4" s="359"/>
      <c r="B4" s="359"/>
      <c r="C4" s="359"/>
      <c r="D4" s="359"/>
      <c r="E4" s="359"/>
      <c r="F4" s="359"/>
      <c r="G4" s="359"/>
      <c r="H4" s="359"/>
      <c r="I4" s="359"/>
    </row>
    <row r="5" spans="1:11" s="358" customFormat="1" x14ac:dyDescent="0.25">
      <c r="A5" s="530" t="s">
        <v>0</v>
      </c>
      <c r="B5" s="530" t="s">
        <v>385</v>
      </c>
      <c r="C5" s="533" t="s">
        <v>386</v>
      </c>
      <c r="D5" s="536" t="s">
        <v>387</v>
      </c>
      <c r="E5" s="537"/>
      <c r="F5" s="538" t="s">
        <v>388</v>
      </c>
      <c r="G5" s="539"/>
      <c r="H5" s="540"/>
      <c r="I5" s="530" t="s">
        <v>389</v>
      </c>
    </row>
    <row r="6" spans="1:11" s="358" customFormat="1" x14ac:dyDescent="0.25">
      <c r="A6" s="531"/>
      <c r="B6" s="531"/>
      <c r="C6" s="534"/>
      <c r="D6" s="541" t="s">
        <v>390</v>
      </c>
      <c r="E6" s="541" t="s">
        <v>410</v>
      </c>
      <c r="F6" s="541" t="s">
        <v>391</v>
      </c>
      <c r="G6" s="541" t="s">
        <v>392</v>
      </c>
      <c r="H6" s="543" t="s">
        <v>409</v>
      </c>
      <c r="I6" s="531"/>
    </row>
    <row r="7" spans="1:11" s="358" customFormat="1" ht="123" customHeight="1" x14ac:dyDescent="0.25">
      <c r="A7" s="532"/>
      <c r="B7" s="532"/>
      <c r="C7" s="535"/>
      <c r="D7" s="542"/>
      <c r="E7" s="542"/>
      <c r="F7" s="542"/>
      <c r="G7" s="542"/>
      <c r="H7" s="544"/>
      <c r="I7" s="532"/>
    </row>
    <row r="8" spans="1:11" s="362" customFormat="1" ht="15" x14ac:dyDescent="0.25">
      <c r="A8" s="361">
        <v>1</v>
      </c>
      <c r="B8" s="361">
        <v>2</v>
      </c>
      <c r="C8" s="361">
        <v>3</v>
      </c>
      <c r="D8" s="361">
        <v>4</v>
      </c>
      <c r="E8" s="361">
        <v>5</v>
      </c>
      <c r="F8" s="361">
        <v>6</v>
      </c>
      <c r="G8" s="361">
        <v>7</v>
      </c>
      <c r="H8" s="361">
        <v>8</v>
      </c>
      <c r="I8" s="361" t="s">
        <v>393</v>
      </c>
    </row>
    <row r="9" spans="1:11" s="358" customFormat="1" ht="36.75" customHeight="1" x14ac:dyDescent="0.25">
      <c r="A9" s="363">
        <v>1</v>
      </c>
      <c r="B9" s="364" t="s">
        <v>394</v>
      </c>
      <c r="C9" s="365">
        <f>SUM(C10:C11)</f>
        <v>33576.5</v>
      </c>
      <c r="D9" s="366">
        <f>SUM(D10:D11)</f>
        <v>2661216000</v>
      </c>
      <c r="E9" s="366">
        <f t="shared" ref="E9:I9" si="0">SUM(E10:E11)</f>
        <v>338177070</v>
      </c>
      <c r="F9" s="366">
        <f t="shared" si="0"/>
        <v>498977999.99999994</v>
      </c>
      <c r="G9" s="366">
        <f t="shared" si="0"/>
        <v>13306080000</v>
      </c>
      <c r="H9" s="366">
        <f t="shared" si="0"/>
        <v>24904000</v>
      </c>
      <c r="I9" s="366">
        <f t="shared" si="0"/>
        <v>16829355070</v>
      </c>
      <c r="K9" s="367"/>
    </row>
    <row r="10" spans="1:11" s="358" customFormat="1" ht="36" customHeight="1" x14ac:dyDescent="0.25">
      <c r="A10" s="368" t="s">
        <v>395</v>
      </c>
      <c r="B10" s="369" t="s">
        <v>422</v>
      </c>
      <c r="C10" s="370">
        <v>33265.199999999997</v>
      </c>
      <c r="D10" s="371">
        <f>C10*80000</f>
        <v>2661216000</v>
      </c>
      <c r="E10" s="371">
        <f>338177070-E11</f>
        <v>336776220</v>
      </c>
      <c r="F10" s="371">
        <f>C10*15000</f>
        <v>498977999.99999994</v>
      </c>
      <c r="G10" s="371">
        <f>C10*80000*5</f>
        <v>13306080000</v>
      </c>
      <c r="H10" s="371"/>
      <c r="I10" s="372">
        <f>D10+E10+F10+G10+H10</f>
        <v>16803050220</v>
      </c>
      <c r="K10" s="373"/>
    </row>
    <row r="11" spans="1:11" s="358" customFormat="1" ht="37.5" customHeight="1" x14ac:dyDescent="0.25">
      <c r="A11" s="368" t="s">
        <v>396</v>
      </c>
      <c r="B11" s="369" t="s">
        <v>423</v>
      </c>
      <c r="C11" s="370">
        <v>311.3</v>
      </c>
      <c r="D11" s="371">
        <v>0</v>
      </c>
      <c r="E11" s="371">
        <f>C11*9000*50%</f>
        <v>1400850</v>
      </c>
      <c r="F11" s="371"/>
      <c r="G11" s="371">
        <v>0</v>
      </c>
      <c r="H11" s="371">
        <f>C11*80000*100%</f>
        <v>24904000</v>
      </c>
      <c r="I11" s="372">
        <f>D11+E11+F11+G11+H11</f>
        <v>26304850</v>
      </c>
    </row>
    <row r="12" spans="1:11" s="358" customFormat="1" ht="52.5" customHeight="1" x14ac:dyDescent="0.25">
      <c r="A12" s="363">
        <v>2</v>
      </c>
      <c r="B12" s="364" t="s">
        <v>433</v>
      </c>
      <c r="C12" s="370"/>
      <c r="D12" s="366"/>
      <c r="E12" s="366"/>
      <c r="F12" s="366"/>
      <c r="G12" s="366"/>
      <c r="H12" s="371"/>
      <c r="I12" s="372">
        <v>336587030</v>
      </c>
    </row>
    <row r="13" spans="1:11" s="358" customFormat="1" ht="26.25" customHeight="1" x14ac:dyDescent="0.25">
      <c r="A13" s="363"/>
      <c r="B13" s="363" t="s">
        <v>397</v>
      </c>
      <c r="C13" s="365">
        <f>C9+C12</f>
        <v>33576.5</v>
      </c>
      <c r="D13" s="366">
        <f t="shared" ref="D13:I13" si="1">D9+D12</f>
        <v>2661216000</v>
      </c>
      <c r="E13" s="366">
        <f t="shared" si="1"/>
        <v>338177070</v>
      </c>
      <c r="F13" s="366">
        <f t="shared" si="1"/>
        <v>498977999.99999994</v>
      </c>
      <c r="G13" s="366">
        <f t="shared" si="1"/>
        <v>13306080000</v>
      </c>
      <c r="H13" s="366">
        <f t="shared" si="1"/>
        <v>24904000</v>
      </c>
      <c r="I13" s="443">
        <f t="shared" si="1"/>
        <v>17165942100</v>
      </c>
    </row>
    <row r="14" spans="1:11" s="358" customFormat="1" ht="26.25" customHeight="1" x14ac:dyDescent="0.25">
      <c r="A14" s="528" t="s">
        <v>434</v>
      </c>
      <c r="B14" s="528"/>
      <c r="C14" s="528"/>
      <c r="D14" s="528"/>
      <c r="E14" s="528"/>
      <c r="F14" s="528"/>
      <c r="G14" s="528"/>
      <c r="H14" s="528"/>
      <c r="I14" s="528"/>
    </row>
  </sheetData>
  <mergeCells count="15">
    <mergeCell ref="A14:I14"/>
    <mergeCell ref="A1:I1"/>
    <mergeCell ref="A2:I2"/>
    <mergeCell ref="A3:I3"/>
    <mergeCell ref="A5:A7"/>
    <mergeCell ref="B5:B7"/>
    <mergeCell ref="C5:C7"/>
    <mergeCell ref="D5:E5"/>
    <mergeCell ref="F5:H5"/>
    <mergeCell ref="I5:I7"/>
    <mergeCell ref="D6:D7"/>
    <mergeCell ref="E6:E7"/>
    <mergeCell ref="F6:F7"/>
    <mergeCell ref="G6:G7"/>
    <mergeCell ref="H6:H7"/>
  </mergeCells>
  <pageMargins left="0.2" right="0.2" top="0.5" bottom="0.25" header="0.3" footer="0.3"/>
  <pageSetup paperSize="9" orientation="landscape"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3"/>
  <sheetViews>
    <sheetView workbookViewId="0">
      <selection activeCell="R100" sqref="R100:T100"/>
    </sheetView>
  </sheetViews>
  <sheetFormatPr defaultRowHeight="15.75" x14ac:dyDescent="0.25"/>
  <cols>
    <col min="1" max="1" width="4" style="8" customWidth="1"/>
    <col min="2" max="2" width="12.125" style="8" customWidth="1"/>
    <col min="3" max="3" width="7.625" style="8" customWidth="1"/>
    <col min="4" max="4" width="15.5" style="8" customWidth="1"/>
    <col min="5" max="5" width="8.375" style="8" customWidth="1"/>
    <col min="6" max="6" width="4" style="8" customWidth="1"/>
    <col min="7" max="7" width="4.875" style="8" customWidth="1"/>
    <col min="8" max="8" width="7.125" style="8" customWidth="1"/>
    <col min="9" max="9" width="4.5" style="8" customWidth="1"/>
    <col min="10" max="10" width="4.875" style="8" customWidth="1"/>
    <col min="11" max="11" width="7.5" style="8" customWidth="1"/>
    <col min="12" max="12" width="4.625" style="8" customWidth="1"/>
    <col min="13" max="13" width="6.375" style="113" customWidth="1"/>
    <col min="14" max="14" width="7.25" style="8" customWidth="1"/>
    <col min="15" max="15" width="6.125" style="8" customWidth="1"/>
    <col min="16" max="16" width="7" style="8" customWidth="1"/>
    <col min="17" max="17" width="5.25" style="8" customWidth="1"/>
    <col min="18" max="18" width="7.5" style="8" customWidth="1"/>
    <col min="19" max="19" width="7.25" style="8" customWidth="1"/>
    <col min="20" max="20" width="6.625" style="8" customWidth="1"/>
    <col min="21" max="21" width="6.375" style="113" customWidth="1"/>
    <col min="22" max="22" width="17.375" style="8" customWidth="1"/>
    <col min="23" max="23" width="6" style="8" customWidth="1"/>
    <col min="24" max="24" width="11.375" style="8" customWidth="1"/>
    <col min="25" max="25" width="10.875" style="8" customWidth="1"/>
    <col min="26" max="26" width="8.125" style="18" customWidth="1"/>
    <col min="27" max="254" width="9" style="8"/>
    <col min="255" max="255" width="4" style="8" customWidth="1"/>
    <col min="256" max="256" width="12.125" style="8" customWidth="1"/>
    <col min="257" max="257" width="7.625" style="8" customWidth="1"/>
    <col min="258" max="258" width="15.5" style="8" customWidth="1"/>
    <col min="259" max="259" width="8.375" style="8" customWidth="1"/>
    <col min="260" max="260" width="4" style="8" customWidth="1"/>
    <col min="261" max="261" width="4.875" style="8" customWidth="1"/>
    <col min="262" max="262" width="7.125" style="8" customWidth="1"/>
    <col min="263" max="263" width="4.5" style="8" customWidth="1"/>
    <col min="264" max="264" width="4.875" style="8" customWidth="1"/>
    <col min="265" max="265" width="7.5" style="8" customWidth="1"/>
    <col min="266" max="266" width="4.625" style="8" customWidth="1"/>
    <col min="267" max="267" width="6.375" style="8" customWidth="1"/>
    <col min="268" max="268" width="7.25" style="8" customWidth="1"/>
    <col min="269" max="269" width="0" style="8" hidden="1" customWidth="1"/>
    <col min="270" max="270" width="7" style="8" customWidth="1"/>
    <col min="271" max="271" width="5.25" style="8" customWidth="1"/>
    <col min="272" max="272" width="7.5" style="8" customWidth="1"/>
    <col min="273" max="273" width="7.25" style="8" customWidth="1"/>
    <col min="274" max="274" width="6.625" style="8" customWidth="1"/>
    <col min="275" max="275" width="6.75" style="8" customWidth="1"/>
    <col min="276" max="276" width="14.5" style="8" customWidth="1"/>
    <col min="277" max="277" width="12.25" style="8" customWidth="1"/>
    <col min="278" max="278" width="17.375" style="8" customWidth="1"/>
    <col min="279" max="279" width="5.125" style="8" customWidth="1"/>
    <col min="280" max="280" width="11.375" style="8" customWidth="1"/>
    <col min="281" max="281" width="10.875" style="8" customWidth="1"/>
    <col min="282" max="282" width="8.125" style="8" customWidth="1"/>
    <col min="283" max="510" width="9" style="8"/>
    <col min="511" max="511" width="4" style="8" customWidth="1"/>
    <col min="512" max="512" width="12.125" style="8" customWidth="1"/>
    <col min="513" max="513" width="7.625" style="8" customWidth="1"/>
    <col min="514" max="514" width="15.5" style="8" customWidth="1"/>
    <col min="515" max="515" width="8.375" style="8" customWidth="1"/>
    <col min="516" max="516" width="4" style="8" customWidth="1"/>
    <col min="517" max="517" width="4.875" style="8" customWidth="1"/>
    <col min="518" max="518" width="7.125" style="8" customWidth="1"/>
    <col min="519" max="519" width="4.5" style="8" customWidth="1"/>
    <col min="520" max="520" width="4.875" style="8" customWidth="1"/>
    <col min="521" max="521" width="7.5" style="8" customWidth="1"/>
    <col min="522" max="522" width="4.625" style="8" customWidth="1"/>
    <col min="523" max="523" width="6.375" style="8" customWidth="1"/>
    <col min="524" max="524" width="7.25" style="8" customWidth="1"/>
    <col min="525" max="525" width="0" style="8" hidden="1" customWidth="1"/>
    <col min="526" max="526" width="7" style="8" customWidth="1"/>
    <col min="527" max="527" width="5.25" style="8" customWidth="1"/>
    <col min="528" max="528" width="7.5" style="8" customWidth="1"/>
    <col min="529" max="529" width="7.25" style="8" customWidth="1"/>
    <col min="530" max="530" width="6.625" style="8" customWidth="1"/>
    <col min="531" max="531" width="6.75" style="8" customWidth="1"/>
    <col min="532" max="532" width="14.5" style="8" customWidth="1"/>
    <col min="533" max="533" width="12.25" style="8" customWidth="1"/>
    <col min="534" max="534" width="17.375" style="8" customWidth="1"/>
    <col min="535" max="535" width="5.125" style="8" customWidth="1"/>
    <col min="536" max="536" width="11.375" style="8" customWidth="1"/>
    <col min="537" max="537" width="10.875" style="8" customWidth="1"/>
    <col min="538" max="538" width="8.125" style="8" customWidth="1"/>
    <col min="539" max="766" width="9" style="8"/>
    <col min="767" max="767" width="4" style="8" customWidth="1"/>
    <col min="768" max="768" width="12.125" style="8" customWidth="1"/>
    <col min="769" max="769" width="7.625" style="8" customWidth="1"/>
    <col min="770" max="770" width="15.5" style="8" customWidth="1"/>
    <col min="771" max="771" width="8.375" style="8" customWidth="1"/>
    <col min="772" max="772" width="4" style="8" customWidth="1"/>
    <col min="773" max="773" width="4.875" style="8" customWidth="1"/>
    <col min="774" max="774" width="7.125" style="8" customWidth="1"/>
    <col min="775" max="775" width="4.5" style="8" customWidth="1"/>
    <col min="776" max="776" width="4.875" style="8" customWidth="1"/>
    <col min="777" max="777" width="7.5" style="8" customWidth="1"/>
    <col min="778" max="778" width="4.625" style="8" customWidth="1"/>
    <col min="779" max="779" width="6.375" style="8" customWidth="1"/>
    <col min="780" max="780" width="7.25" style="8" customWidth="1"/>
    <col min="781" max="781" width="0" style="8" hidden="1" customWidth="1"/>
    <col min="782" max="782" width="7" style="8" customWidth="1"/>
    <col min="783" max="783" width="5.25" style="8" customWidth="1"/>
    <col min="784" max="784" width="7.5" style="8" customWidth="1"/>
    <col min="785" max="785" width="7.25" style="8" customWidth="1"/>
    <col min="786" max="786" width="6.625" style="8" customWidth="1"/>
    <col min="787" max="787" width="6.75" style="8" customWidth="1"/>
    <col min="788" max="788" width="14.5" style="8" customWidth="1"/>
    <col min="789" max="789" width="12.25" style="8" customWidth="1"/>
    <col min="790" max="790" width="17.375" style="8" customWidth="1"/>
    <col min="791" max="791" width="5.125" style="8" customWidth="1"/>
    <col min="792" max="792" width="11.375" style="8" customWidth="1"/>
    <col min="793" max="793" width="10.875" style="8" customWidth="1"/>
    <col min="794" max="794" width="8.125" style="8" customWidth="1"/>
    <col min="795" max="1022" width="9" style="8"/>
    <col min="1023" max="1023" width="4" style="8" customWidth="1"/>
    <col min="1024" max="1024" width="12.125" style="8" customWidth="1"/>
    <col min="1025" max="1025" width="7.625" style="8" customWidth="1"/>
    <col min="1026" max="1026" width="15.5" style="8" customWidth="1"/>
    <col min="1027" max="1027" width="8.375" style="8" customWidth="1"/>
    <col min="1028" max="1028" width="4" style="8" customWidth="1"/>
    <col min="1029" max="1029" width="4.875" style="8" customWidth="1"/>
    <col min="1030" max="1030" width="7.125" style="8" customWidth="1"/>
    <col min="1031" max="1031" width="4.5" style="8" customWidth="1"/>
    <col min="1032" max="1032" width="4.875" style="8" customWidth="1"/>
    <col min="1033" max="1033" width="7.5" style="8" customWidth="1"/>
    <col min="1034" max="1034" width="4.625" style="8" customWidth="1"/>
    <col min="1035" max="1035" width="6.375" style="8" customWidth="1"/>
    <col min="1036" max="1036" width="7.25" style="8" customWidth="1"/>
    <col min="1037" max="1037" width="0" style="8" hidden="1" customWidth="1"/>
    <col min="1038" max="1038" width="7" style="8" customWidth="1"/>
    <col min="1039" max="1039" width="5.25" style="8" customWidth="1"/>
    <col min="1040" max="1040" width="7.5" style="8" customWidth="1"/>
    <col min="1041" max="1041" width="7.25" style="8" customWidth="1"/>
    <col min="1042" max="1042" width="6.625" style="8" customWidth="1"/>
    <col min="1043" max="1043" width="6.75" style="8" customWidth="1"/>
    <col min="1044" max="1044" width="14.5" style="8" customWidth="1"/>
    <col min="1045" max="1045" width="12.25" style="8" customWidth="1"/>
    <col min="1046" max="1046" width="17.375" style="8" customWidth="1"/>
    <col min="1047" max="1047" width="5.125" style="8" customWidth="1"/>
    <col min="1048" max="1048" width="11.375" style="8" customWidth="1"/>
    <col min="1049" max="1049" width="10.875" style="8" customWidth="1"/>
    <col min="1050" max="1050" width="8.125" style="8" customWidth="1"/>
    <col min="1051" max="1278" width="9" style="8"/>
    <col min="1279" max="1279" width="4" style="8" customWidth="1"/>
    <col min="1280" max="1280" width="12.125" style="8" customWidth="1"/>
    <col min="1281" max="1281" width="7.625" style="8" customWidth="1"/>
    <col min="1282" max="1282" width="15.5" style="8" customWidth="1"/>
    <col min="1283" max="1283" width="8.375" style="8" customWidth="1"/>
    <col min="1284" max="1284" width="4" style="8" customWidth="1"/>
    <col min="1285" max="1285" width="4.875" style="8" customWidth="1"/>
    <col min="1286" max="1286" width="7.125" style="8" customWidth="1"/>
    <col min="1287" max="1287" width="4.5" style="8" customWidth="1"/>
    <col min="1288" max="1288" width="4.875" style="8" customWidth="1"/>
    <col min="1289" max="1289" width="7.5" style="8" customWidth="1"/>
    <col min="1290" max="1290" width="4.625" style="8" customWidth="1"/>
    <col min="1291" max="1291" width="6.375" style="8" customWidth="1"/>
    <col min="1292" max="1292" width="7.25" style="8" customWidth="1"/>
    <col min="1293" max="1293" width="0" style="8" hidden="1" customWidth="1"/>
    <col min="1294" max="1294" width="7" style="8" customWidth="1"/>
    <col min="1295" max="1295" width="5.25" style="8" customWidth="1"/>
    <col min="1296" max="1296" width="7.5" style="8" customWidth="1"/>
    <col min="1297" max="1297" width="7.25" style="8" customWidth="1"/>
    <col min="1298" max="1298" width="6.625" style="8" customWidth="1"/>
    <col min="1299" max="1299" width="6.75" style="8" customWidth="1"/>
    <col min="1300" max="1300" width="14.5" style="8" customWidth="1"/>
    <col min="1301" max="1301" width="12.25" style="8" customWidth="1"/>
    <col min="1302" max="1302" width="17.375" style="8" customWidth="1"/>
    <col min="1303" max="1303" width="5.125" style="8" customWidth="1"/>
    <col min="1304" max="1304" width="11.375" style="8" customWidth="1"/>
    <col min="1305" max="1305" width="10.875" style="8" customWidth="1"/>
    <col min="1306" max="1306" width="8.125" style="8" customWidth="1"/>
    <col min="1307" max="1534" width="9" style="8"/>
    <col min="1535" max="1535" width="4" style="8" customWidth="1"/>
    <col min="1536" max="1536" width="12.125" style="8" customWidth="1"/>
    <col min="1537" max="1537" width="7.625" style="8" customWidth="1"/>
    <col min="1538" max="1538" width="15.5" style="8" customWidth="1"/>
    <col min="1539" max="1539" width="8.375" style="8" customWidth="1"/>
    <col min="1540" max="1540" width="4" style="8" customWidth="1"/>
    <col min="1541" max="1541" width="4.875" style="8" customWidth="1"/>
    <col min="1542" max="1542" width="7.125" style="8" customWidth="1"/>
    <col min="1543" max="1543" width="4.5" style="8" customWidth="1"/>
    <col min="1544" max="1544" width="4.875" style="8" customWidth="1"/>
    <col min="1545" max="1545" width="7.5" style="8" customWidth="1"/>
    <col min="1546" max="1546" width="4.625" style="8" customWidth="1"/>
    <col min="1547" max="1547" width="6.375" style="8" customWidth="1"/>
    <col min="1548" max="1548" width="7.25" style="8" customWidth="1"/>
    <col min="1549" max="1549" width="0" style="8" hidden="1" customWidth="1"/>
    <col min="1550" max="1550" width="7" style="8" customWidth="1"/>
    <col min="1551" max="1551" width="5.25" style="8" customWidth="1"/>
    <col min="1552" max="1552" width="7.5" style="8" customWidth="1"/>
    <col min="1553" max="1553" width="7.25" style="8" customWidth="1"/>
    <col min="1554" max="1554" width="6.625" style="8" customWidth="1"/>
    <col min="1555" max="1555" width="6.75" style="8" customWidth="1"/>
    <col min="1556" max="1556" width="14.5" style="8" customWidth="1"/>
    <col min="1557" max="1557" width="12.25" style="8" customWidth="1"/>
    <col min="1558" max="1558" width="17.375" style="8" customWidth="1"/>
    <col min="1559" max="1559" width="5.125" style="8" customWidth="1"/>
    <col min="1560" max="1560" width="11.375" style="8" customWidth="1"/>
    <col min="1561" max="1561" width="10.875" style="8" customWidth="1"/>
    <col min="1562" max="1562" width="8.125" style="8" customWidth="1"/>
    <col min="1563" max="1790" width="9" style="8"/>
    <col min="1791" max="1791" width="4" style="8" customWidth="1"/>
    <col min="1792" max="1792" width="12.125" style="8" customWidth="1"/>
    <col min="1793" max="1793" width="7.625" style="8" customWidth="1"/>
    <col min="1794" max="1794" width="15.5" style="8" customWidth="1"/>
    <col min="1795" max="1795" width="8.375" style="8" customWidth="1"/>
    <col min="1796" max="1796" width="4" style="8" customWidth="1"/>
    <col min="1797" max="1797" width="4.875" style="8" customWidth="1"/>
    <col min="1798" max="1798" width="7.125" style="8" customWidth="1"/>
    <col min="1799" max="1799" width="4.5" style="8" customWidth="1"/>
    <col min="1800" max="1800" width="4.875" style="8" customWidth="1"/>
    <col min="1801" max="1801" width="7.5" style="8" customWidth="1"/>
    <col min="1802" max="1802" width="4.625" style="8" customWidth="1"/>
    <col min="1803" max="1803" width="6.375" style="8" customWidth="1"/>
    <col min="1804" max="1804" width="7.25" style="8" customWidth="1"/>
    <col min="1805" max="1805" width="0" style="8" hidden="1" customWidth="1"/>
    <col min="1806" max="1806" width="7" style="8" customWidth="1"/>
    <col min="1807" max="1807" width="5.25" style="8" customWidth="1"/>
    <col min="1808" max="1808" width="7.5" style="8" customWidth="1"/>
    <col min="1809" max="1809" width="7.25" style="8" customWidth="1"/>
    <col min="1810" max="1810" width="6.625" style="8" customWidth="1"/>
    <col min="1811" max="1811" width="6.75" style="8" customWidth="1"/>
    <col min="1812" max="1812" width="14.5" style="8" customWidth="1"/>
    <col min="1813" max="1813" width="12.25" style="8" customWidth="1"/>
    <col min="1814" max="1814" width="17.375" style="8" customWidth="1"/>
    <col min="1815" max="1815" width="5.125" style="8" customWidth="1"/>
    <col min="1816" max="1816" width="11.375" style="8" customWidth="1"/>
    <col min="1817" max="1817" width="10.875" style="8" customWidth="1"/>
    <col min="1818" max="1818" width="8.125" style="8" customWidth="1"/>
    <col min="1819" max="2046" width="9" style="8"/>
    <col min="2047" max="2047" width="4" style="8" customWidth="1"/>
    <col min="2048" max="2048" width="12.125" style="8" customWidth="1"/>
    <col min="2049" max="2049" width="7.625" style="8" customWidth="1"/>
    <col min="2050" max="2050" width="15.5" style="8" customWidth="1"/>
    <col min="2051" max="2051" width="8.375" style="8" customWidth="1"/>
    <col min="2052" max="2052" width="4" style="8" customWidth="1"/>
    <col min="2053" max="2053" width="4.875" style="8" customWidth="1"/>
    <col min="2054" max="2054" width="7.125" style="8" customWidth="1"/>
    <col min="2055" max="2055" width="4.5" style="8" customWidth="1"/>
    <col min="2056" max="2056" width="4.875" style="8" customWidth="1"/>
    <col min="2057" max="2057" width="7.5" style="8" customWidth="1"/>
    <col min="2058" max="2058" width="4.625" style="8" customWidth="1"/>
    <col min="2059" max="2059" width="6.375" style="8" customWidth="1"/>
    <col min="2060" max="2060" width="7.25" style="8" customWidth="1"/>
    <col min="2061" max="2061" width="0" style="8" hidden="1" customWidth="1"/>
    <col min="2062" max="2062" width="7" style="8" customWidth="1"/>
    <col min="2063" max="2063" width="5.25" style="8" customWidth="1"/>
    <col min="2064" max="2064" width="7.5" style="8" customWidth="1"/>
    <col min="2065" max="2065" width="7.25" style="8" customWidth="1"/>
    <col min="2066" max="2066" width="6.625" style="8" customWidth="1"/>
    <col min="2067" max="2067" width="6.75" style="8" customWidth="1"/>
    <col min="2068" max="2068" width="14.5" style="8" customWidth="1"/>
    <col min="2069" max="2069" width="12.25" style="8" customWidth="1"/>
    <col min="2070" max="2070" width="17.375" style="8" customWidth="1"/>
    <col min="2071" max="2071" width="5.125" style="8" customWidth="1"/>
    <col min="2072" max="2072" width="11.375" style="8" customWidth="1"/>
    <col min="2073" max="2073" width="10.875" style="8" customWidth="1"/>
    <col min="2074" max="2074" width="8.125" style="8" customWidth="1"/>
    <col min="2075" max="2302" width="9" style="8"/>
    <col min="2303" max="2303" width="4" style="8" customWidth="1"/>
    <col min="2304" max="2304" width="12.125" style="8" customWidth="1"/>
    <col min="2305" max="2305" width="7.625" style="8" customWidth="1"/>
    <col min="2306" max="2306" width="15.5" style="8" customWidth="1"/>
    <col min="2307" max="2307" width="8.375" style="8" customWidth="1"/>
    <col min="2308" max="2308" width="4" style="8" customWidth="1"/>
    <col min="2309" max="2309" width="4.875" style="8" customWidth="1"/>
    <col min="2310" max="2310" width="7.125" style="8" customWidth="1"/>
    <col min="2311" max="2311" width="4.5" style="8" customWidth="1"/>
    <col min="2312" max="2312" width="4.875" style="8" customWidth="1"/>
    <col min="2313" max="2313" width="7.5" style="8" customWidth="1"/>
    <col min="2314" max="2314" width="4.625" style="8" customWidth="1"/>
    <col min="2315" max="2315" width="6.375" style="8" customWidth="1"/>
    <col min="2316" max="2316" width="7.25" style="8" customWidth="1"/>
    <col min="2317" max="2317" width="0" style="8" hidden="1" customWidth="1"/>
    <col min="2318" max="2318" width="7" style="8" customWidth="1"/>
    <col min="2319" max="2319" width="5.25" style="8" customWidth="1"/>
    <col min="2320" max="2320" width="7.5" style="8" customWidth="1"/>
    <col min="2321" max="2321" width="7.25" style="8" customWidth="1"/>
    <col min="2322" max="2322" width="6.625" style="8" customWidth="1"/>
    <col min="2323" max="2323" width="6.75" style="8" customWidth="1"/>
    <col min="2324" max="2324" width="14.5" style="8" customWidth="1"/>
    <col min="2325" max="2325" width="12.25" style="8" customWidth="1"/>
    <col min="2326" max="2326" width="17.375" style="8" customWidth="1"/>
    <col min="2327" max="2327" width="5.125" style="8" customWidth="1"/>
    <col min="2328" max="2328" width="11.375" style="8" customWidth="1"/>
    <col min="2329" max="2329" width="10.875" style="8" customWidth="1"/>
    <col min="2330" max="2330" width="8.125" style="8" customWidth="1"/>
    <col min="2331" max="2558" width="9" style="8"/>
    <col min="2559" max="2559" width="4" style="8" customWidth="1"/>
    <col min="2560" max="2560" width="12.125" style="8" customWidth="1"/>
    <col min="2561" max="2561" width="7.625" style="8" customWidth="1"/>
    <col min="2562" max="2562" width="15.5" style="8" customWidth="1"/>
    <col min="2563" max="2563" width="8.375" style="8" customWidth="1"/>
    <col min="2564" max="2564" width="4" style="8" customWidth="1"/>
    <col min="2565" max="2565" width="4.875" style="8" customWidth="1"/>
    <col min="2566" max="2566" width="7.125" style="8" customWidth="1"/>
    <col min="2567" max="2567" width="4.5" style="8" customWidth="1"/>
    <col min="2568" max="2568" width="4.875" style="8" customWidth="1"/>
    <col min="2569" max="2569" width="7.5" style="8" customWidth="1"/>
    <col min="2570" max="2570" width="4.625" style="8" customWidth="1"/>
    <col min="2571" max="2571" width="6.375" style="8" customWidth="1"/>
    <col min="2572" max="2572" width="7.25" style="8" customWidth="1"/>
    <col min="2573" max="2573" width="0" style="8" hidden="1" customWidth="1"/>
    <col min="2574" max="2574" width="7" style="8" customWidth="1"/>
    <col min="2575" max="2575" width="5.25" style="8" customWidth="1"/>
    <col min="2576" max="2576" width="7.5" style="8" customWidth="1"/>
    <col min="2577" max="2577" width="7.25" style="8" customWidth="1"/>
    <col min="2578" max="2578" width="6.625" style="8" customWidth="1"/>
    <col min="2579" max="2579" width="6.75" style="8" customWidth="1"/>
    <col min="2580" max="2580" width="14.5" style="8" customWidth="1"/>
    <col min="2581" max="2581" width="12.25" style="8" customWidth="1"/>
    <col min="2582" max="2582" width="17.375" style="8" customWidth="1"/>
    <col min="2583" max="2583" width="5.125" style="8" customWidth="1"/>
    <col min="2584" max="2584" width="11.375" style="8" customWidth="1"/>
    <col min="2585" max="2585" width="10.875" style="8" customWidth="1"/>
    <col min="2586" max="2586" width="8.125" style="8" customWidth="1"/>
    <col min="2587" max="2814" width="9" style="8"/>
    <col min="2815" max="2815" width="4" style="8" customWidth="1"/>
    <col min="2816" max="2816" width="12.125" style="8" customWidth="1"/>
    <col min="2817" max="2817" width="7.625" style="8" customWidth="1"/>
    <col min="2818" max="2818" width="15.5" style="8" customWidth="1"/>
    <col min="2819" max="2819" width="8.375" style="8" customWidth="1"/>
    <col min="2820" max="2820" width="4" style="8" customWidth="1"/>
    <col min="2821" max="2821" width="4.875" style="8" customWidth="1"/>
    <col min="2822" max="2822" width="7.125" style="8" customWidth="1"/>
    <col min="2823" max="2823" width="4.5" style="8" customWidth="1"/>
    <col min="2824" max="2824" width="4.875" style="8" customWidth="1"/>
    <col min="2825" max="2825" width="7.5" style="8" customWidth="1"/>
    <col min="2826" max="2826" width="4.625" style="8" customWidth="1"/>
    <col min="2827" max="2827" width="6.375" style="8" customWidth="1"/>
    <col min="2828" max="2828" width="7.25" style="8" customWidth="1"/>
    <col min="2829" max="2829" width="0" style="8" hidden="1" customWidth="1"/>
    <col min="2830" max="2830" width="7" style="8" customWidth="1"/>
    <col min="2831" max="2831" width="5.25" style="8" customWidth="1"/>
    <col min="2832" max="2832" width="7.5" style="8" customWidth="1"/>
    <col min="2833" max="2833" width="7.25" style="8" customWidth="1"/>
    <col min="2834" max="2834" width="6.625" style="8" customWidth="1"/>
    <col min="2835" max="2835" width="6.75" style="8" customWidth="1"/>
    <col min="2836" max="2836" width="14.5" style="8" customWidth="1"/>
    <col min="2837" max="2837" width="12.25" style="8" customWidth="1"/>
    <col min="2838" max="2838" width="17.375" style="8" customWidth="1"/>
    <col min="2839" max="2839" width="5.125" style="8" customWidth="1"/>
    <col min="2840" max="2840" width="11.375" style="8" customWidth="1"/>
    <col min="2841" max="2841" width="10.875" style="8" customWidth="1"/>
    <col min="2842" max="2842" width="8.125" style="8" customWidth="1"/>
    <col min="2843" max="3070" width="9" style="8"/>
    <col min="3071" max="3071" width="4" style="8" customWidth="1"/>
    <col min="3072" max="3072" width="12.125" style="8" customWidth="1"/>
    <col min="3073" max="3073" width="7.625" style="8" customWidth="1"/>
    <col min="3074" max="3074" width="15.5" style="8" customWidth="1"/>
    <col min="3075" max="3075" width="8.375" style="8" customWidth="1"/>
    <col min="3076" max="3076" width="4" style="8" customWidth="1"/>
    <col min="3077" max="3077" width="4.875" style="8" customWidth="1"/>
    <col min="3078" max="3078" width="7.125" style="8" customWidth="1"/>
    <col min="3079" max="3079" width="4.5" style="8" customWidth="1"/>
    <col min="3080" max="3080" width="4.875" style="8" customWidth="1"/>
    <col min="3081" max="3081" width="7.5" style="8" customWidth="1"/>
    <col min="3082" max="3082" width="4.625" style="8" customWidth="1"/>
    <col min="3083" max="3083" width="6.375" style="8" customWidth="1"/>
    <col min="3084" max="3084" width="7.25" style="8" customWidth="1"/>
    <col min="3085" max="3085" width="0" style="8" hidden="1" customWidth="1"/>
    <col min="3086" max="3086" width="7" style="8" customWidth="1"/>
    <col min="3087" max="3087" width="5.25" style="8" customWidth="1"/>
    <col min="3088" max="3088" width="7.5" style="8" customWidth="1"/>
    <col min="3089" max="3089" width="7.25" style="8" customWidth="1"/>
    <col min="3090" max="3090" width="6.625" style="8" customWidth="1"/>
    <col min="3091" max="3091" width="6.75" style="8" customWidth="1"/>
    <col min="3092" max="3092" width="14.5" style="8" customWidth="1"/>
    <col min="3093" max="3093" width="12.25" style="8" customWidth="1"/>
    <col min="3094" max="3094" width="17.375" style="8" customWidth="1"/>
    <col min="3095" max="3095" width="5.125" style="8" customWidth="1"/>
    <col min="3096" max="3096" width="11.375" style="8" customWidth="1"/>
    <col min="3097" max="3097" width="10.875" style="8" customWidth="1"/>
    <col min="3098" max="3098" width="8.125" style="8" customWidth="1"/>
    <col min="3099" max="3326" width="9" style="8"/>
    <col min="3327" max="3327" width="4" style="8" customWidth="1"/>
    <col min="3328" max="3328" width="12.125" style="8" customWidth="1"/>
    <col min="3329" max="3329" width="7.625" style="8" customWidth="1"/>
    <col min="3330" max="3330" width="15.5" style="8" customWidth="1"/>
    <col min="3331" max="3331" width="8.375" style="8" customWidth="1"/>
    <col min="3332" max="3332" width="4" style="8" customWidth="1"/>
    <col min="3333" max="3333" width="4.875" style="8" customWidth="1"/>
    <col min="3334" max="3334" width="7.125" style="8" customWidth="1"/>
    <col min="3335" max="3335" width="4.5" style="8" customWidth="1"/>
    <col min="3336" max="3336" width="4.875" style="8" customWidth="1"/>
    <col min="3337" max="3337" width="7.5" style="8" customWidth="1"/>
    <col min="3338" max="3338" width="4.625" style="8" customWidth="1"/>
    <col min="3339" max="3339" width="6.375" style="8" customWidth="1"/>
    <col min="3340" max="3340" width="7.25" style="8" customWidth="1"/>
    <col min="3341" max="3341" width="0" style="8" hidden="1" customWidth="1"/>
    <col min="3342" max="3342" width="7" style="8" customWidth="1"/>
    <col min="3343" max="3343" width="5.25" style="8" customWidth="1"/>
    <col min="3344" max="3344" width="7.5" style="8" customWidth="1"/>
    <col min="3345" max="3345" width="7.25" style="8" customWidth="1"/>
    <col min="3346" max="3346" width="6.625" style="8" customWidth="1"/>
    <col min="3347" max="3347" width="6.75" style="8" customWidth="1"/>
    <col min="3348" max="3348" width="14.5" style="8" customWidth="1"/>
    <col min="3349" max="3349" width="12.25" style="8" customWidth="1"/>
    <col min="3350" max="3350" width="17.375" style="8" customWidth="1"/>
    <col min="3351" max="3351" width="5.125" style="8" customWidth="1"/>
    <col min="3352" max="3352" width="11.375" style="8" customWidth="1"/>
    <col min="3353" max="3353" width="10.875" style="8" customWidth="1"/>
    <col min="3354" max="3354" width="8.125" style="8" customWidth="1"/>
    <col min="3355" max="3582" width="9" style="8"/>
    <col min="3583" max="3583" width="4" style="8" customWidth="1"/>
    <col min="3584" max="3584" width="12.125" style="8" customWidth="1"/>
    <col min="3585" max="3585" width="7.625" style="8" customWidth="1"/>
    <col min="3586" max="3586" width="15.5" style="8" customWidth="1"/>
    <col min="3587" max="3587" width="8.375" style="8" customWidth="1"/>
    <col min="3588" max="3588" width="4" style="8" customWidth="1"/>
    <col min="3589" max="3589" width="4.875" style="8" customWidth="1"/>
    <col min="3590" max="3590" width="7.125" style="8" customWidth="1"/>
    <col min="3591" max="3591" width="4.5" style="8" customWidth="1"/>
    <col min="3592" max="3592" width="4.875" style="8" customWidth="1"/>
    <col min="3593" max="3593" width="7.5" style="8" customWidth="1"/>
    <col min="3594" max="3594" width="4.625" style="8" customWidth="1"/>
    <col min="3595" max="3595" width="6.375" style="8" customWidth="1"/>
    <col min="3596" max="3596" width="7.25" style="8" customWidth="1"/>
    <col min="3597" max="3597" width="0" style="8" hidden="1" customWidth="1"/>
    <col min="3598" max="3598" width="7" style="8" customWidth="1"/>
    <col min="3599" max="3599" width="5.25" style="8" customWidth="1"/>
    <col min="3600" max="3600" width="7.5" style="8" customWidth="1"/>
    <col min="3601" max="3601" width="7.25" style="8" customWidth="1"/>
    <col min="3602" max="3602" width="6.625" style="8" customWidth="1"/>
    <col min="3603" max="3603" width="6.75" style="8" customWidth="1"/>
    <col min="3604" max="3604" width="14.5" style="8" customWidth="1"/>
    <col min="3605" max="3605" width="12.25" style="8" customWidth="1"/>
    <col min="3606" max="3606" width="17.375" style="8" customWidth="1"/>
    <col min="3607" max="3607" width="5.125" style="8" customWidth="1"/>
    <col min="3608" max="3608" width="11.375" style="8" customWidth="1"/>
    <col min="3609" max="3609" width="10.875" style="8" customWidth="1"/>
    <col min="3610" max="3610" width="8.125" style="8" customWidth="1"/>
    <col min="3611" max="3838" width="9" style="8"/>
    <col min="3839" max="3839" width="4" style="8" customWidth="1"/>
    <col min="3840" max="3840" width="12.125" style="8" customWidth="1"/>
    <col min="3841" max="3841" width="7.625" style="8" customWidth="1"/>
    <col min="3842" max="3842" width="15.5" style="8" customWidth="1"/>
    <col min="3843" max="3843" width="8.375" style="8" customWidth="1"/>
    <col min="3844" max="3844" width="4" style="8" customWidth="1"/>
    <col min="3845" max="3845" width="4.875" style="8" customWidth="1"/>
    <col min="3846" max="3846" width="7.125" style="8" customWidth="1"/>
    <col min="3847" max="3847" width="4.5" style="8" customWidth="1"/>
    <col min="3848" max="3848" width="4.875" style="8" customWidth="1"/>
    <col min="3849" max="3849" width="7.5" style="8" customWidth="1"/>
    <col min="3850" max="3850" width="4.625" style="8" customWidth="1"/>
    <col min="3851" max="3851" width="6.375" style="8" customWidth="1"/>
    <col min="3852" max="3852" width="7.25" style="8" customWidth="1"/>
    <col min="3853" max="3853" width="0" style="8" hidden="1" customWidth="1"/>
    <col min="3854" max="3854" width="7" style="8" customWidth="1"/>
    <col min="3855" max="3855" width="5.25" style="8" customWidth="1"/>
    <col min="3856" max="3856" width="7.5" style="8" customWidth="1"/>
    <col min="3857" max="3857" width="7.25" style="8" customWidth="1"/>
    <col min="3858" max="3858" width="6.625" style="8" customWidth="1"/>
    <col min="3859" max="3859" width="6.75" style="8" customWidth="1"/>
    <col min="3860" max="3860" width="14.5" style="8" customWidth="1"/>
    <col min="3861" max="3861" width="12.25" style="8" customWidth="1"/>
    <col min="3862" max="3862" width="17.375" style="8" customWidth="1"/>
    <col min="3863" max="3863" width="5.125" style="8" customWidth="1"/>
    <col min="3864" max="3864" width="11.375" style="8" customWidth="1"/>
    <col min="3865" max="3865" width="10.875" style="8" customWidth="1"/>
    <col min="3866" max="3866" width="8.125" style="8" customWidth="1"/>
    <col min="3867" max="4094" width="9" style="8"/>
    <col min="4095" max="4095" width="4" style="8" customWidth="1"/>
    <col min="4096" max="4096" width="12.125" style="8" customWidth="1"/>
    <col min="4097" max="4097" width="7.625" style="8" customWidth="1"/>
    <col min="4098" max="4098" width="15.5" style="8" customWidth="1"/>
    <col min="4099" max="4099" width="8.375" style="8" customWidth="1"/>
    <col min="4100" max="4100" width="4" style="8" customWidth="1"/>
    <col min="4101" max="4101" width="4.875" style="8" customWidth="1"/>
    <col min="4102" max="4102" width="7.125" style="8" customWidth="1"/>
    <col min="4103" max="4103" width="4.5" style="8" customWidth="1"/>
    <col min="4104" max="4104" width="4.875" style="8" customWidth="1"/>
    <col min="4105" max="4105" width="7.5" style="8" customWidth="1"/>
    <col min="4106" max="4106" width="4.625" style="8" customWidth="1"/>
    <col min="4107" max="4107" width="6.375" style="8" customWidth="1"/>
    <col min="4108" max="4108" width="7.25" style="8" customWidth="1"/>
    <col min="4109" max="4109" width="0" style="8" hidden="1" customWidth="1"/>
    <col min="4110" max="4110" width="7" style="8" customWidth="1"/>
    <col min="4111" max="4111" width="5.25" style="8" customWidth="1"/>
    <col min="4112" max="4112" width="7.5" style="8" customWidth="1"/>
    <col min="4113" max="4113" width="7.25" style="8" customWidth="1"/>
    <col min="4114" max="4114" width="6.625" style="8" customWidth="1"/>
    <col min="4115" max="4115" width="6.75" style="8" customWidth="1"/>
    <col min="4116" max="4116" width="14.5" style="8" customWidth="1"/>
    <col min="4117" max="4117" width="12.25" style="8" customWidth="1"/>
    <col min="4118" max="4118" width="17.375" style="8" customWidth="1"/>
    <col min="4119" max="4119" width="5.125" style="8" customWidth="1"/>
    <col min="4120" max="4120" width="11.375" style="8" customWidth="1"/>
    <col min="4121" max="4121" width="10.875" style="8" customWidth="1"/>
    <col min="4122" max="4122" width="8.125" style="8" customWidth="1"/>
    <col min="4123" max="4350" width="9" style="8"/>
    <col min="4351" max="4351" width="4" style="8" customWidth="1"/>
    <col min="4352" max="4352" width="12.125" style="8" customWidth="1"/>
    <col min="4353" max="4353" width="7.625" style="8" customWidth="1"/>
    <col min="4354" max="4354" width="15.5" style="8" customWidth="1"/>
    <col min="4355" max="4355" width="8.375" style="8" customWidth="1"/>
    <col min="4356" max="4356" width="4" style="8" customWidth="1"/>
    <col min="4357" max="4357" width="4.875" style="8" customWidth="1"/>
    <col min="4358" max="4358" width="7.125" style="8" customWidth="1"/>
    <col min="4359" max="4359" width="4.5" style="8" customWidth="1"/>
    <col min="4360" max="4360" width="4.875" style="8" customWidth="1"/>
    <col min="4361" max="4361" width="7.5" style="8" customWidth="1"/>
    <col min="4362" max="4362" width="4.625" style="8" customWidth="1"/>
    <col min="4363" max="4363" width="6.375" style="8" customWidth="1"/>
    <col min="4364" max="4364" width="7.25" style="8" customWidth="1"/>
    <col min="4365" max="4365" width="0" style="8" hidden="1" customWidth="1"/>
    <col min="4366" max="4366" width="7" style="8" customWidth="1"/>
    <col min="4367" max="4367" width="5.25" style="8" customWidth="1"/>
    <col min="4368" max="4368" width="7.5" style="8" customWidth="1"/>
    <col min="4369" max="4369" width="7.25" style="8" customWidth="1"/>
    <col min="4370" max="4370" width="6.625" style="8" customWidth="1"/>
    <col min="4371" max="4371" width="6.75" style="8" customWidth="1"/>
    <col min="4372" max="4372" width="14.5" style="8" customWidth="1"/>
    <col min="4373" max="4373" width="12.25" style="8" customWidth="1"/>
    <col min="4374" max="4374" width="17.375" style="8" customWidth="1"/>
    <col min="4375" max="4375" width="5.125" style="8" customWidth="1"/>
    <col min="4376" max="4376" width="11.375" style="8" customWidth="1"/>
    <col min="4377" max="4377" width="10.875" style="8" customWidth="1"/>
    <col min="4378" max="4378" width="8.125" style="8" customWidth="1"/>
    <col min="4379" max="4606" width="9" style="8"/>
    <col min="4607" max="4607" width="4" style="8" customWidth="1"/>
    <col min="4608" max="4608" width="12.125" style="8" customWidth="1"/>
    <col min="4609" max="4609" width="7.625" style="8" customWidth="1"/>
    <col min="4610" max="4610" width="15.5" style="8" customWidth="1"/>
    <col min="4611" max="4611" width="8.375" style="8" customWidth="1"/>
    <col min="4612" max="4612" width="4" style="8" customWidth="1"/>
    <col min="4613" max="4613" width="4.875" style="8" customWidth="1"/>
    <col min="4614" max="4614" width="7.125" style="8" customWidth="1"/>
    <col min="4615" max="4615" width="4.5" style="8" customWidth="1"/>
    <col min="4616" max="4616" width="4.875" style="8" customWidth="1"/>
    <col min="4617" max="4617" width="7.5" style="8" customWidth="1"/>
    <col min="4618" max="4618" width="4.625" style="8" customWidth="1"/>
    <col min="4619" max="4619" width="6.375" style="8" customWidth="1"/>
    <col min="4620" max="4620" width="7.25" style="8" customWidth="1"/>
    <col min="4621" max="4621" width="0" style="8" hidden="1" customWidth="1"/>
    <col min="4622" max="4622" width="7" style="8" customWidth="1"/>
    <col min="4623" max="4623" width="5.25" style="8" customWidth="1"/>
    <col min="4624" max="4624" width="7.5" style="8" customWidth="1"/>
    <col min="4625" max="4625" width="7.25" style="8" customWidth="1"/>
    <col min="4626" max="4626" width="6.625" style="8" customWidth="1"/>
    <col min="4627" max="4627" width="6.75" style="8" customWidth="1"/>
    <col min="4628" max="4628" width="14.5" style="8" customWidth="1"/>
    <col min="4629" max="4629" width="12.25" style="8" customWidth="1"/>
    <col min="4630" max="4630" width="17.375" style="8" customWidth="1"/>
    <col min="4631" max="4631" width="5.125" style="8" customWidth="1"/>
    <col min="4632" max="4632" width="11.375" style="8" customWidth="1"/>
    <col min="4633" max="4633" width="10.875" style="8" customWidth="1"/>
    <col min="4634" max="4634" width="8.125" style="8" customWidth="1"/>
    <col min="4635" max="4862" width="9" style="8"/>
    <col min="4863" max="4863" width="4" style="8" customWidth="1"/>
    <col min="4864" max="4864" width="12.125" style="8" customWidth="1"/>
    <col min="4865" max="4865" width="7.625" style="8" customWidth="1"/>
    <col min="4866" max="4866" width="15.5" style="8" customWidth="1"/>
    <col min="4867" max="4867" width="8.375" style="8" customWidth="1"/>
    <col min="4868" max="4868" width="4" style="8" customWidth="1"/>
    <col min="4869" max="4869" width="4.875" style="8" customWidth="1"/>
    <col min="4870" max="4870" width="7.125" style="8" customWidth="1"/>
    <col min="4871" max="4871" width="4.5" style="8" customWidth="1"/>
    <col min="4872" max="4872" width="4.875" style="8" customWidth="1"/>
    <col min="4873" max="4873" width="7.5" style="8" customWidth="1"/>
    <col min="4874" max="4874" width="4.625" style="8" customWidth="1"/>
    <col min="4875" max="4875" width="6.375" style="8" customWidth="1"/>
    <col min="4876" max="4876" width="7.25" style="8" customWidth="1"/>
    <col min="4877" max="4877" width="0" style="8" hidden="1" customWidth="1"/>
    <col min="4878" max="4878" width="7" style="8" customWidth="1"/>
    <col min="4879" max="4879" width="5.25" style="8" customWidth="1"/>
    <col min="4880" max="4880" width="7.5" style="8" customWidth="1"/>
    <col min="4881" max="4881" width="7.25" style="8" customWidth="1"/>
    <col min="4882" max="4882" width="6.625" style="8" customWidth="1"/>
    <col min="4883" max="4883" width="6.75" style="8" customWidth="1"/>
    <col min="4884" max="4884" width="14.5" style="8" customWidth="1"/>
    <col min="4885" max="4885" width="12.25" style="8" customWidth="1"/>
    <col min="4886" max="4886" width="17.375" style="8" customWidth="1"/>
    <col min="4887" max="4887" width="5.125" style="8" customWidth="1"/>
    <col min="4888" max="4888" width="11.375" style="8" customWidth="1"/>
    <col min="4889" max="4889" width="10.875" style="8" customWidth="1"/>
    <col min="4890" max="4890" width="8.125" style="8" customWidth="1"/>
    <col min="4891" max="5118" width="9" style="8"/>
    <col min="5119" max="5119" width="4" style="8" customWidth="1"/>
    <col min="5120" max="5120" width="12.125" style="8" customWidth="1"/>
    <col min="5121" max="5121" width="7.625" style="8" customWidth="1"/>
    <col min="5122" max="5122" width="15.5" style="8" customWidth="1"/>
    <col min="5123" max="5123" width="8.375" style="8" customWidth="1"/>
    <col min="5124" max="5124" width="4" style="8" customWidth="1"/>
    <col min="5125" max="5125" width="4.875" style="8" customWidth="1"/>
    <col min="5126" max="5126" width="7.125" style="8" customWidth="1"/>
    <col min="5127" max="5127" width="4.5" style="8" customWidth="1"/>
    <col min="5128" max="5128" width="4.875" style="8" customWidth="1"/>
    <col min="5129" max="5129" width="7.5" style="8" customWidth="1"/>
    <col min="5130" max="5130" width="4.625" style="8" customWidth="1"/>
    <col min="5131" max="5131" width="6.375" style="8" customWidth="1"/>
    <col min="5132" max="5132" width="7.25" style="8" customWidth="1"/>
    <col min="5133" max="5133" width="0" style="8" hidden="1" customWidth="1"/>
    <col min="5134" max="5134" width="7" style="8" customWidth="1"/>
    <col min="5135" max="5135" width="5.25" style="8" customWidth="1"/>
    <col min="5136" max="5136" width="7.5" style="8" customWidth="1"/>
    <col min="5137" max="5137" width="7.25" style="8" customWidth="1"/>
    <col min="5138" max="5138" width="6.625" style="8" customWidth="1"/>
    <col min="5139" max="5139" width="6.75" style="8" customWidth="1"/>
    <col min="5140" max="5140" width="14.5" style="8" customWidth="1"/>
    <col min="5141" max="5141" width="12.25" style="8" customWidth="1"/>
    <col min="5142" max="5142" width="17.375" style="8" customWidth="1"/>
    <col min="5143" max="5143" width="5.125" style="8" customWidth="1"/>
    <col min="5144" max="5144" width="11.375" style="8" customWidth="1"/>
    <col min="5145" max="5145" width="10.875" style="8" customWidth="1"/>
    <col min="5146" max="5146" width="8.125" style="8" customWidth="1"/>
    <col min="5147" max="5374" width="9" style="8"/>
    <col min="5375" max="5375" width="4" style="8" customWidth="1"/>
    <col min="5376" max="5376" width="12.125" style="8" customWidth="1"/>
    <col min="5377" max="5377" width="7.625" style="8" customWidth="1"/>
    <col min="5378" max="5378" width="15.5" style="8" customWidth="1"/>
    <col min="5379" max="5379" width="8.375" style="8" customWidth="1"/>
    <col min="5380" max="5380" width="4" style="8" customWidth="1"/>
    <col min="5381" max="5381" width="4.875" style="8" customWidth="1"/>
    <col min="5382" max="5382" width="7.125" style="8" customWidth="1"/>
    <col min="5383" max="5383" width="4.5" style="8" customWidth="1"/>
    <col min="5384" max="5384" width="4.875" style="8" customWidth="1"/>
    <col min="5385" max="5385" width="7.5" style="8" customWidth="1"/>
    <col min="5386" max="5386" width="4.625" style="8" customWidth="1"/>
    <col min="5387" max="5387" width="6.375" style="8" customWidth="1"/>
    <col min="5388" max="5388" width="7.25" style="8" customWidth="1"/>
    <col min="5389" max="5389" width="0" style="8" hidden="1" customWidth="1"/>
    <col min="5390" max="5390" width="7" style="8" customWidth="1"/>
    <col min="5391" max="5391" width="5.25" style="8" customWidth="1"/>
    <col min="5392" max="5392" width="7.5" style="8" customWidth="1"/>
    <col min="5393" max="5393" width="7.25" style="8" customWidth="1"/>
    <col min="5394" max="5394" width="6.625" style="8" customWidth="1"/>
    <col min="5395" max="5395" width="6.75" style="8" customWidth="1"/>
    <col min="5396" max="5396" width="14.5" style="8" customWidth="1"/>
    <col min="5397" max="5397" width="12.25" style="8" customWidth="1"/>
    <col min="5398" max="5398" width="17.375" style="8" customWidth="1"/>
    <col min="5399" max="5399" width="5.125" style="8" customWidth="1"/>
    <col min="5400" max="5400" width="11.375" style="8" customWidth="1"/>
    <col min="5401" max="5401" width="10.875" style="8" customWidth="1"/>
    <col min="5402" max="5402" width="8.125" style="8" customWidth="1"/>
    <col min="5403" max="5630" width="9" style="8"/>
    <col min="5631" max="5631" width="4" style="8" customWidth="1"/>
    <col min="5632" max="5632" width="12.125" style="8" customWidth="1"/>
    <col min="5633" max="5633" width="7.625" style="8" customWidth="1"/>
    <col min="5634" max="5634" width="15.5" style="8" customWidth="1"/>
    <col min="5635" max="5635" width="8.375" style="8" customWidth="1"/>
    <col min="5636" max="5636" width="4" style="8" customWidth="1"/>
    <col min="5637" max="5637" width="4.875" style="8" customWidth="1"/>
    <col min="5638" max="5638" width="7.125" style="8" customWidth="1"/>
    <col min="5639" max="5639" width="4.5" style="8" customWidth="1"/>
    <col min="5640" max="5640" width="4.875" style="8" customWidth="1"/>
    <col min="5641" max="5641" width="7.5" style="8" customWidth="1"/>
    <col min="5642" max="5642" width="4.625" style="8" customWidth="1"/>
    <col min="5643" max="5643" width="6.375" style="8" customWidth="1"/>
    <col min="5644" max="5644" width="7.25" style="8" customWidth="1"/>
    <col min="5645" max="5645" width="0" style="8" hidden="1" customWidth="1"/>
    <col min="5646" max="5646" width="7" style="8" customWidth="1"/>
    <col min="5647" max="5647" width="5.25" style="8" customWidth="1"/>
    <col min="5648" max="5648" width="7.5" style="8" customWidth="1"/>
    <col min="5649" max="5649" width="7.25" style="8" customWidth="1"/>
    <col min="5650" max="5650" width="6.625" style="8" customWidth="1"/>
    <col min="5651" max="5651" width="6.75" style="8" customWidth="1"/>
    <col min="5652" max="5652" width="14.5" style="8" customWidth="1"/>
    <col min="5653" max="5653" width="12.25" style="8" customWidth="1"/>
    <col min="5654" max="5654" width="17.375" style="8" customWidth="1"/>
    <col min="5655" max="5655" width="5.125" style="8" customWidth="1"/>
    <col min="5656" max="5656" width="11.375" style="8" customWidth="1"/>
    <col min="5657" max="5657" width="10.875" style="8" customWidth="1"/>
    <col min="5658" max="5658" width="8.125" style="8" customWidth="1"/>
    <col min="5659" max="5886" width="9" style="8"/>
    <col min="5887" max="5887" width="4" style="8" customWidth="1"/>
    <col min="5888" max="5888" width="12.125" style="8" customWidth="1"/>
    <col min="5889" max="5889" width="7.625" style="8" customWidth="1"/>
    <col min="5890" max="5890" width="15.5" style="8" customWidth="1"/>
    <col min="5891" max="5891" width="8.375" style="8" customWidth="1"/>
    <col min="5892" max="5892" width="4" style="8" customWidth="1"/>
    <col min="5893" max="5893" width="4.875" style="8" customWidth="1"/>
    <col min="5894" max="5894" width="7.125" style="8" customWidth="1"/>
    <col min="5895" max="5895" width="4.5" style="8" customWidth="1"/>
    <col min="5896" max="5896" width="4.875" style="8" customWidth="1"/>
    <col min="5897" max="5897" width="7.5" style="8" customWidth="1"/>
    <col min="5898" max="5898" width="4.625" style="8" customWidth="1"/>
    <col min="5899" max="5899" width="6.375" style="8" customWidth="1"/>
    <col min="5900" max="5900" width="7.25" style="8" customWidth="1"/>
    <col min="5901" max="5901" width="0" style="8" hidden="1" customWidth="1"/>
    <col min="5902" max="5902" width="7" style="8" customWidth="1"/>
    <col min="5903" max="5903" width="5.25" style="8" customWidth="1"/>
    <col min="5904" max="5904" width="7.5" style="8" customWidth="1"/>
    <col min="5905" max="5905" width="7.25" style="8" customWidth="1"/>
    <col min="5906" max="5906" width="6.625" style="8" customWidth="1"/>
    <col min="5907" max="5907" width="6.75" style="8" customWidth="1"/>
    <col min="5908" max="5908" width="14.5" style="8" customWidth="1"/>
    <col min="5909" max="5909" width="12.25" style="8" customWidth="1"/>
    <col min="5910" max="5910" width="17.375" style="8" customWidth="1"/>
    <col min="5911" max="5911" width="5.125" style="8" customWidth="1"/>
    <col min="5912" max="5912" width="11.375" style="8" customWidth="1"/>
    <col min="5913" max="5913" width="10.875" style="8" customWidth="1"/>
    <col min="5914" max="5914" width="8.125" style="8" customWidth="1"/>
    <col min="5915" max="6142" width="9" style="8"/>
    <col min="6143" max="6143" width="4" style="8" customWidth="1"/>
    <col min="6144" max="6144" width="12.125" style="8" customWidth="1"/>
    <col min="6145" max="6145" width="7.625" style="8" customWidth="1"/>
    <col min="6146" max="6146" width="15.5" style="8" customWidth="1"/>
    <col min="6147" max="6147" width="8.375" style="8" customWidth="1"/>
    <col min="6148" max="6148" width="4" style="8" customWidth="1"/>
    <col min="6149" max="6149" width="4.875" style="8" customWidth="1"/>
    <col min="6150" max="6150" width="7.125" style="8" customWidth="1"/>
    <col min="6151" max="6151" width="4.5" style="8" customWidth="1"/>
    <col min="6152" max="6152" width="4.875" style="8" customWidth="1"/>
    <col min="6153" max="6153" width="7.5" style="8" customWidth="1"/>
    <col min="6154" max="6154" width="4.625" style="8" customWidth="1"/>
    <col min="6155" max="6155" width="6.375" style="8" customWidth="1"/>
    <col min="6156" max="6156" width="7.25" style="8" customWidth="1"/>
    <col min="6157" max="6157" width="0" style="8" hidden="1" customWidth="1"/>
    <col min="6158" max="6158" width="7" style="8" customWidth="1"/>
    <col min="6159" max="6159" width="5.25" style="8" customWidth="1"/>
    <col min="6160" max="6160" width="7.5" style="8" customWidth="1"/>
    <col min="6161" max="6161" width="7.25" style="8" customWidth="1"/>
    <col min="6162" max="6162" width="6.625" style="8" customWidth="1"/>
    <col min="6163" max="6163" width="6.75" style="8" customWidth="1"/>
    <col min="6164" max="6164" width="14.5" style="8" customWidth="1"/>
    <col min="6165" max="6165" width="12.25" style="8" customWidth="1"/>
    <col min="6166" max="6166" width="17.375" style="8" customWidth="1"/>
    <col min="6167" max="6167" width="5.125" style="8" customWidth="1"/>
    <col min="6168" max="6168" width="11.375" style="8" customWidth="1"/>
    <col min="6169" max="6169" width="10.875" style="8" customWidth="1"/>
    <col min="6170" max="6170" width="8.125" style="8" customWidth="1"/>
    <col min="6171" max="6398" width="9" style="8"/>
    <col min="6399" max="6399" width="4" style="8" customWidth="1"/>
    <col min="6400" max="6400" width="12.125" style="8" customWidth="1"/>
    <col min="6401" max="6401" width="7.625" style="8" customWidth="1"/>
    <col min="6402" max="6402" width="15.5" style="8" customWidth="1"/>
    <col min="6403" max="6403" width="8.375" style="8" customWidth="1"/>
    <col min="6404" max="6404" width="4" style="8" customWidth="1"/>
    <col min="6405" max="6405" width="4.875" style="8" customWidth="1"/>
    <col min="6406" max="6406" width="7.125" style="8" customWidth="1"/>
    <col min="6407" max="6407" width="4.5" style="8" customWidth="1"/>
    <col min="6408" max="6408" width="4.875" style="8" customWidth="1"/>
    <col min="6409" max="6409" width="7.5" style="8" customWidth="1"/>
    <col min="6410" max="6410" width="4.625" style="8" customWidth="1"/>
    <col min="6411" max="6411" width="6.375" style="8" customWidth="1"/>
    <col min="6412" max="6412" width="7.25" style="8" customWidth="1"/>
    <col min="6413" max="6413" width="0" style="8" hidden="1" customWidth="1"/>
    <col min="6414" max="6414" width="7" style="8" customWidth="1"/>
    <col min="6415" max="6415" width="5.25" style="8" customWidth="1"/>
    <col min="6416" max="6416" width="7.5" style="8" customWidth="1"/>
    <col min="6417" max="6417" width="7.25" style="8" customWidth="1"/>
    <col min="6418" max="6418" width="6.625" style="8" customWidth="1"/>
    <col min="6419" max="6419" width="6.75" style="8" customWidth="1"/>
    <col min="6420" max="6420" width="14.5" style="8" customWidth="1"/>
    <col min="6421" max="6421" width="12.25" style="8" customWidth="1"/>
    <col min="6422" max="6422" width="17.375" style="8" customWidth="1"/>
    <col min="6423" max="6423" width="5.125" style="8" customWidth="1"/>
    <col min="6424" max="6424" width="11.375" style="8" customWidth="1"/>
    <col min="6425" max="6425" width="10.875" style="8" customWidth="1"/>
    <col min="6426" max="6426" width="8.125" style="8" customWidth="1"/>
    <col min="6427" max="6654" width="9" style="8"/>
    <col min="6655" max="6655" width="4" style="8" customWidth="1"/>
    <col min="6656" max="6656" width="12.125" style="8" customWidth="1"/>
    <col min="6657" max="6657" width="7.625" style="8" customWidth="1"/>
    <col min="6658" max="6658" width="15.5" style="8" customWidth="1"/>
    <col min="6659" max="6659" width="8.375" style="8" customWidth="1"/>
    <col min="6660" max="6660" width="4" style="8" customWidth="1"/>
    <col min="6661" max="6661" width="4.875" style="8" customWidth="1"/>
    <col min="6662" max="6662" width="7.125" style="8" customWidth="1"/>
    <col min="6663" max="6663" width="4.5" style="8" customWidth="1"/>
    <col min="6664" max="6664" width="4.875" style="8" customWidth="1"/>
    <col min="6665" max="6665" width="7.5" style="8" customWidth="1"/>
    <col min="6666" max="6666" width="4.625" style="8" customWidth="1"/>
    <col min="6667" max="6667" width="6.375" style="8" customWidth="1"/>
    <col min="6668" max="6668" width="7.25" style="8" customWidth="1"/>
    <col min="6669" max="6669" width="0" style="8" hidden="1" customWidth="1"/>
    <col min="6670" max="6670" width="7" style="8" customWidth="1"/>
    <col min="6671" max="6671" width="5.25" style="8" customWidth="1"/>
    <col min="6672" max="6672" width="7.5" style="8" customWidth="1"/>
    <col min="6673" max="6673" width="7.25" style="8" customWidth="1"/>
    <col min="6674" max="6674" width="6.625" style="8" customWidth="1"/>
    <col min="6675" max="6675" width="6.75" style="8" customWidth="1"/>
    <col min="6676" max="6676" width="14.5" style="8" customWidth="1"/>
    <col min="6677" max="6677" width="12.25" style="8" customWidth="1"/>
    <col min="6678" max="6678" width="17.375" style="8" customWidth="1"/>
    <col min="6679" max="6679" width="5.125" style="8" customWidth="1"/>
    <col min="6680" max="6680" width="11.375" style="8" customWidth="1"/>
    <col min="6681" max="6681" width="10.875" style="8" customWidth="1"/>
    <col min="6682" max="6682" width="8.125" style="8" customWidth="1"/>
    <col min="6683" max="6910" width="9" style="8"/>
    <col min="6911" max="6911" width="4" style="8" customWidth="1"/>
    <col min="6912" max="6912" width="12.125" style="8" customWidth="1"/>
    <col min="6913" max="6913" width="7.625" style="8" customWidth="1"/>
    <col min="6914" max="6914" width="15.5" style="8" customWidth="1"/>
    <col min="6915" max="6915" width="8.375" style="8" customWidth="1"/>
    <col min="6916" max="6916" width="4" style="8" customWidth="1"/>
    <col min="6917" max="6917" width="4.875" style="8" customWidth="1"/>
    <col min="6918" max="6918" width="7.125" style="8" customWidth="1"/>
    <col min="6919" max="6919" width="4.5" style="8" customWidth="1"/>
    <col min="6920" max="6920" width="4.875" style="8" customWidth="1"/>
    <col min="6921" max="6921" width="7.5" style="8" customWidth="1"/>
    <col min="6922" max="6922" width="4.625" style="8" customWidth="1"/>
    <col min="6923" max="6923" width="6.375" style="8" customWidth="1"/>
    <col min="6924" max="6924" width="7.25" style="8" customWidth="1"/>
    <col min="6925" max="6925" width="0" style="8" hidden="1" customWidth="1"/>
    <col min="6926" max="6926" width="7" style="8" customWidth="1"/>
    <col min="6927" max="6927" width="5.25" style="8" customWidth="1"/>
    <col min="6928" max="6928" width="7.5" style="8" customWidth="1"/>
    <col min="6929" max="6929" width="7.25" style="8" customWidth="1"/>
    <col min="6930" max="6930" width="6.625" style="8" customWidth="1"/>
    <col min="6931" max="6931" width="6.75" style="8" customWidth="1"/>
    <col min="6932" max="6932" width="14.5" style="8" customWidth="1"/>
    <col min="6933" max="6933" width="12.25" style="8" customWidth="1"/>
    <col min="6934" max="6934" width="17.375" style="8" customWidth="1"/>
    <col min="6935" max="6935" width="5.125" style="8" customWidth="1"/>
    <col min="6936" max="6936" width="11.375" style="8" customWidth="1"/>
    <col min="6937" max="6937" width="10.875" style="8" customWidth="1"/>
    <col min="6938" max="6938" width="8.125" style="8" customWidth="1"/>
    <col min="6939" max="7166" width="9" style="8"/>
    <col min="7167" max="7167" width="4" style="8" customWidth="1"/>
    <col min="7168" max="7168" width="12.125" style="8" customWidth="1"/>
    <col min="7169" max="7169" width="7.625" style="8" customWidth="1"/>
    <col min="7170" max="7170" width="15.5" style="8" customWidth="1"/>
    <col min="7171" max="7171" width="8.375" style="8" customWidth="1"/>
    <col min="7172" max="7172" width="4" style="8" customWidth="1"/>
    <col min="7173" max="7173" width="4.875" style="8" customWidth="1"/>
    <col min="7174" max="7174" width="7.125" style="8" customWidth="1"/>
    <col min="7175" max="7175" width="4.5" style="8" customWidth="1"/>
    <col min="7176" max="7176" width="4.875" style="8" customWidth="1"/>
    <col min="7177" max="7177" width="7.5" style="8" customWidth="1"/>
    <col min="7178" max="7178" width="4.625" style="8" customWidth="1"/>
    <col min="7179" max="7179" width="6.375" style="8" customWidth="1"/>
    <col min="7180" max="7180" width="7.25" style="8" customWidth="1"/>
    <col min="7181" max="7181" width="0" style="8" hidden="1" customWidth="1"/>
    <col min="7182" max="7182" width="7" style="8" customWidth="1"/>
    <col min="7183" max="7183" width="5.25" style="8" customWidth="1"/>
    <col min="7184" max="7184" width="7.5" style="8" customWidth="1"/>
    <col min="7185" max="7185" width="7.25" style="8" customWidth="1"/>
    <col min="7186" max="7186" width="6.625" style="8" customWidth="1"/>
    <col min="7187" max="7187" width="6.75" style="8" customWidth="1"/>
    <col min="7188" max="7188" width="14.5" style="8" customWidth="1"/>
    <col min="7189" max="7189" width="12.25" style="8" customWidth="1"/>
    <col min="7190" max="7190" width="17.375" style="8" customWidth="1"/>
    <col min="7191" max="7191" width="5.125" style="8" customWidth="1"/>
    <col min="7192" max="7192" width="11.375" style="8" customWidth="1"/>
    <col min="7193" max="7193" width="10.875" style="8" customWidth="1"/>
    <col min="7194" max="7194" width="8.125" style="8" customWidth="1"/>
    <col min="7195" max="7422" width="9" style="8"/>
    <col min="7423" max="7423" width="4" style="8" customWidth="1"/>
    <col min="7424" max="7424" width="12.125" style="8" customWidth="1"/>
    <col min="7425" max="7425" width="7.625" style="8" customWidth="1"/>
    <col min="7426" max="7426" width="15.5" style="8" customWidth="1"/>
    <col min="7427" max="7427" width="8.375" style="8" customWidth="1"/>
    <col min="7428" max="7428" width="4" style="8" customWidth="1"/>
    <col min="7429" max="7429" width="4.875" style="8" customWidth="1"/>
    <col min="7430" max="7430" width="7.125" style="8" customWidth="1"/>
    <col min="7431" max="7431" width="4.5" style="8" customWidth="1"/>
    <col min="7432" max="7432" width="4.875" style="8" customWidth="1"/>
    <col min="7433" max="7433" width="7.5" style="8" customWidth="1"/>
    <col min="7434" max="7434" width="4.625" style="8" customWidth="1"/>
    <col min="7435" max="7435" width="6.375" style="8" customWidth="1"/>
    <col min="7436" max="7436" width="7.25" style="8" customWidth="1"/>
    <col min="7437" max="7437" width="0" style="8" hidden="1" customWidth="1"/>
    <col min="7438" max="7438" width="7" style="8" customWidth="1"/>
    <col min="7439" max="7439" width="5.25" style="8" customWidth="1"/>
    <col min="7440" max="7440" width="7.5" style="8" customWidth="1"/>
    <col min="7441" max="7441" width="7.25" style="8" customWidth="1"/>
    <col min="7442" max="7442" width="6.625" style="8" customWidth="1"/>
    <col min="7443" max="7443" width="6.75" style="8" customWidth="1"/>
    <col min="7444" max="7444" width="14.5" style="8" customWidth="1"/>
    <col min="7445" max="7445" width="12.25" style="8" customWidth="1"/>
    <col min="7446" max="7446" width="17.375" style="8" customWidth="1"/>
    <col min="7447" max="7447" width="5.125" style="8" customWidth="1"/>
    <col min="7448" max="7448" width="11.375" style="8" customWidth="1"/>
    <col min="7449" max="7449" width="10.875" style="8" customWidth="1"/>
    <col min="7450" max="7450" width="8.125" style="8" customWidth="1"/>
    <col min="7451" max="7678" width="9" style="8"/>
    <col min="7679" max="7679" width="4" style="8" customWidth="1"/>
    <col min="7680" max="7680" width="12.125" style="8" customWidth="1"/>
    <col min="7681" max="7681" width="7.625" style="8" customWidth="1"/>
    <col min="7682" max="7682" width="15.5" style="8" customWidth="1"/>
    <col min="7683" max="7683" width="8.375" style="8" customWidth="1"/>
    <col min="7684" max="7684" width="4" style="8" customWidth="1"/>
    <col min="7685" max="7685" width="4.875" style="8" customWidth="1"/>
    <col min="7686" max="7686" width="7.125" style="8" customWidth="1"/>
    <col min="7687" max="7687" width="4.5" style="8" customWidth="1"/>
    <col min="7688" max="7688" width="4.875" style="8" customWidth="1"/>
    <col min="7689" max="7689" width="7.5" style="8" customWidth="1"/>
    <col min="7690" max="7690" width="4.625" style="8" customWidth="1"/>
    <col min="7691" max="7691" width="6.375" style="8" customWidth="1"/>
    <col min="7692" max="7692" width="7.25" style="8" customWidth="1"/>
    <col min="7693" max="7693" width="0" style="8" hidden="1" customWidth="1"/>
    <col min="7694" max="7694" width="7" style="8" customWidth="1"/>
    <col min="7695" max="7695" width="5.25" style="8" customWidth="1"/>
    <col min="7696" max="7696" width="7.5" style="8" customWidth="1"/>
    <col min="7697" max="7697" width="7.25" style="8" customWidth="1"/>
    <col min="7698" max="7698" width="6.625" style="8" customWidth="1"/>
    <col min="7699" max="7699" width="6.75" style="8" customWidth="1"/>
    <col min="7700" max="7700" width="14.5" style="8" customWidth="1"/>
    <col min="7701" max="7701" width="12.25" style="8" customWidth="1"/>
    <col min="7702" max="7702" width="17.375" style="8" customWidth="1"/>
    <col min="7703" max="7703" width="5.125" style="8" customWidth="1"/>
    <col min="7704" max="7704" width="11.375" style="8" customWidth="1"/>
    <col min="7705" max="7705" width="10.875" style="8" customWidth="1"/>
    <col min="7706" max="7706" width="8.125" style="8" customWidth="1"/>
    <col min="7707" max="7934" width="9" style="8"/>
    <col min="7935" max="7935" width="4" style="8" customWidth="1"/>
    <col min="7936" max="7936" width="12.125" style="8" customWidth="1"/>
    <col min="7937" max="7937" width="7.625" style="8" customWidth="1"/>
    <col min="7938" max="7938" width="15.5" style="8" customWidth="1"/>
    <col min="7939" max="7939" width="8.375" style="8" customWidth="1"/>
    <col min="7940" max="7940" width="4" style="8" customWidth="1"/>
    <col min="7941" max="7941" width="4.875" style="8" customWidth="1"/>
    <col min="7942" max="7942" width="7.125" style="8" customWidth="1"/>
    <col min="7943" max="7943" width="4.5" style="8" customWidth="1"/>
    <col min="7944" max="7944" width="4.875" style="8" customWidth="1"/>
    <col min="7945" max="7945" width="7.5" style="8" customWidth="1"/>
    <col min="7946" max="7946" width="4.625" style="8" customWidth="1"/>
    <col min="7947" max="7947" width="6.375" style="8" customWidth="1"/>
    <col min="7948" max="7948" width="7.25" style="8" customWidth="1"/>
    <col min="7949" max="7949" width="0" style="8" hidden="1" customWidth="1"/>
    <col min="7950" max="7950" width="7" style="8" customWidth="1"/>
    <col min="7951" max="7951" width="5.25" style="8" customWidth="1"/>
    <col min="7952" max="7952" width="7.5" style="8" customWidth="1"/>
    <col min="7953" max="7953" width="7.25" style="8" customWidth="1"/>
    <col min="7954" max="7954" width="6.625" style="8" customWidth="1"/>
    <col min="7955" max="7955" width="6.75" style="8" customWidth="1"/>
    <col min="7956" max="7956" width="14.5" style="8" customWidth="1"/>
    <col min="7957" max="7957" width="12.25" style="8" customWidth="1"/>
    <col min="7958" max="7958" width="17.375" style="8" customWidth="1"/>
    <col min="7959" max="7959" width="5.125" style="8" customWidth="1"/>
    <col min="7960" max="7960" width="11.375" style="8" customWidth="1"/>
    <col min="7961" max="7961" width="10.875" style="8" customWidth="1"/>
    <col min="7962" max="7962" width="8.125" style="8" customWidth="1"/>
    <col min="7963" max="8190" width="9" style="8"/>
    <col min="8191" max="8191" width="4" style="8" customWidth="1"/>
    <col min="8192" max="8192" width="12.125" style="8" customWidth="1"/>
    <col min="8193" max="8193" width="7.625" style="8" customWidth="1"/>
    <col min="8194" max="8194" width="15.5" style="8" customWidth="1"/>
    <col min="8195" max="8195" width="8.375" style="8" customWidth="1"/>
    <col min="8196" max="8196" width="4" style="8" customWidth="1"/>
    <col min="8197" max="8197" width="4.875" style="8" customWidth="1"/>
    <col min="8198" max="8198" width="7.125" style="8" customWidth="1"/>
    <col min="8199" max="8199" width="4.5" style="8" customWidth="1"/>
    <col min="8200" max="8200" width="4.875" style="8" customWidth="1"/>
    <col min="8201" max="8201" width="7.5" style="8" customWidth="1"/>
    <col min="8202" max="8202" width="4.625" style="8" customWidth="1"/>
    <col min="8203" max="8203" width="6.375" style="8" customWidth="1"/>
    <col min="8204" max="8204" width="7.25" style="8" customWidth="1"/>
    <col min="8205" max="8205" width="0" style="8" hidden="1" customWidth="1"/>
    <col min="8206" max="8206" width="7" style="8" customWidth="1"/>
    <col min="8207" max="8207" width="5.25" style="8" customWidth="1"/>
    <col min="8208" max="8208" width="7.5" style="8" customWidth="1"/>
    <col min="8209" max="8209" width="7.25" style="8" customWidth="1"/>
    <col min="8210" max="8210" width="6.625" style="8" customWidth="1"/>
    <col min="8211" max="8211" width="6.75" style="8" customWidth="1"/>
    <col min="8212" max="8212" width="14.5" style="8" customWidth="1"/>
    <col min="8213" max="8213" width="12.25" style="8" customWidth="1"/>
    <col min="8214" max="8214" width="17.375" style="8" customWidth="1"/>
    <col min="8215" max="8215" width="5.125" style="8" customWidth="1"/>
    <col min="8216" max="8216" width="11.375" style="8" customWidth="1"/>
    <col min="8217" max="8217" width="10.875" style="8" customWidth="1"/>
    <col min="8218" max="8218" width="8.125" style="8" customWidth="1"/>
    <col min="8219" max="8446" width="9" style="8"/>
    <col min="8447" max="8447" width="4" style="8" customWidth="1"/>
    <col min="8448" max="8448" width="12.125" style="8" customWidth="1"/>
    <col min="8449" max="8449" width="7.625" style="8" customWidth="1"/>
    <col min="8450" max="8450" width="15.5" style="8" customWidth="1"/>
    <col min="8451" max="8451" width="8.375" style="8" customWidth="1"/>
    <col min="8452" max="8452" width="4" style="8" customWidth="1"/>
    <col min="8453" max="8453" width="4.875" style="8" customWidth="1"/>
    <col min="8454" max="8454" width="7.125" style="8" customWidth="1"/>
    <col min="8455" max="8455" width="4.5" style="8" customWidth="1"/>
    <col min="8456" max="8456" width="4.875" style="8" customWidth="1"/>
    <col min="8457" max="8457" width="7.5" style="8" customWidth="1"/>
    <col min="8458" max="8458" width="4.625" style="8" customWidth="1"/>
    <col min="8459" max="8459" width="6.375" style="8" customWidth="1"/>
    <col min="8460" max="8460" width="7.25" style="8" customWidth="1"/>
    <col min="8461" max="8461" width="0" style="8" hidden="1" customWidth="1"/>
    <col min="8462" max="8462" width="7" style="8" customWidth="1"/>
    <col min="8463" max="8463" width="5.25" style="8" customWidth="1"/>
    <col min="8464" max="8464" width="7.5" style="8" customWidth="1"/>
    <col min="8465" max="8465" width="7.25" style="8" customWidth="1"/>
    <col min="8466" max="8466" width="6.625" style="8" customWidth="1"/>
    <col min="8467" max="8467" width="6.75" style="8" customWidth="1"/>
    <col min="8468" max="8468" width="14.5" style="8" customWidth="1"/>
    <col min="8469" max="8469" width="12.25" style="8" customWidth="1"/>
    <col min="8470" max="8470" width="17.375" style="8" customWidth="1"/>
    <col min="8471" max="8471" width="5.125" style="8" customWidth="1"/>
    <col min="8472" max="8472" width="11.375" style="8" customWidth="1"/>
    <col min="8473" max="8473" width="10.875" style="8" customWidth="1"/>
    <col min="8474" max="8474" width="8.125" style="8" customWidth="1"/>
    <col min="8475" max="8702" width="9" style="8"/>
    <col min="8703" max="8703" width="4" style="8" customWidth="1"/>
    <col min="8704" max="8704" width="12.125" style="8" customWidth="1"/>
    <col min="8705" max="8705" width="7.625" style="8" customWidth="1"/>
    <col min="8706" max="8706" width="15.5" style="8" customWidth="1"/>
    <col min="8707" max="8707" width="8.375" style="8" customWidth="1"/>
    <col min="8708" max="8708" width="4" style="8" customWidth="1"/>
    <col min="8709" max="8709" width="4.875" style="8" customWidth="1"/>
    <col min="8710" max="8710" width="7.125" style="8" customWidth="1"/>
    <col min="8711" max="8711" width="4.5" style="8" customWidth="1"/>
    <col min="8712" max="8712" width="4.875" style="8" customWidth="1"/>
    <col min="8713" max="8713" width="7.5" style="8" customWidth="1"/>
    <col min="8714" max="8714" width="4.625" style="8" customWidth="1"/>
    <col min="8715" max="8715" width="6.375" style="8" customWidth="1"/>
    <col min="8716" max="8716" width="7.25" style="8" customWidth="1"/>
    <col min="8717" max="8717" width="0" style="8" hidden="1" customWidth="1"/>
    <col min="8718" max="8718" width="7" style="8" customWidth="1"/>
    <col min="8719" max="8719" width="5.25" style="8" customWidth="1"/>
    <col min="8720" max="8720" width="7.5" style="8" customWidth="1"/>
    <col min="8721" max="8721" width="7.25" style="8" customWidth="1"/>
    <col min="8722" max="8722" width="6.625" style="8" customWidth="1"/>
    <col min="8723" max="8723" width="6.75" style="8" customWidth="1"/>
    <col min="8724" max="8724" width="14.5" style="8" customWidth="1"/>
    <col min="8725" max="8725" width="12.25" style="8" customWidth="1"/>
    <col min="8726" max="8726" width="17.375" style="8" customWidth="1"/>
    <col min="8727" max="8727" width="5.125" style="8" customWidth="1"/>
    <col min="8728" max="8728" width="11.375" style="8" customWidth="1"/>
    <col min="8729" max="8729" width="10.875" style="8" customWidth="1"/>
    <col min="8730" max="8730" width="8.125" style="8" customWidth="1"/>
    <col min="8731" max="8958" width="9" style="8"/>
    <col min="8959" max="8959" width="4" style="8" customWidth="1"/>
    <col min="8960" max="8960" width="12.125" style="8" customWidth="1"/>
    <col min="8961" max="8961" width="7.625" style="8" customWidth="1"/>
    <col min="8962" max="8962" width="15.5" style="8" customWidth="1"/>
    <col min="8963" max="8963" width="8.375" style="8" customWidth="1"/>
    <col min="8964" max="8964" width="4" style="8" customWidth="1"/>
    <col min="8965" max="8965" width="4.875" style="8" customWidth="1"/>
    <col min="8966" max="8966" width="7.125" style="8" customWidth="1"/>
    <col min="8967" max="8967" width="4.5" style="8" customWidth="1"/>
    <col min="8968" max="8968" width="4.875" style="8" customWidth="1"/>
    <col min="8969" max="8969" width="7.5" style="8" customWidth="1"/>
    <col min="8970" max="8970" width="4.625" style="8" customWidth="1"/>
    <col min="8971" max="8971" width="6.375" style="8" customWidth="1"/>
    <col min="8972" max="8972" width="7.25" style="8" customWidth="1"/>
    <col min="8973" max="8973" width="0" style="8" hidden="1" customWidth="1"/>
    <col min="8974" max="8974" width="7" style="8" customWidth="1"/>
    <col min="8975" max="8975" width="5.25" style="8" customWidth="1"/>
    <col min="8976" max="8976" width="7.5" style="8" customWidth="1"/>
    <col min="8977" max="8977" width="7.25" style="8" customWidth="1"/>
    <col min="8978" max="8978" width="6.625" style="8" customWidth="1"/>
    <col min="8979" max="8979" width="6.75" style="8" customWidth="1"/>
    <col min="8980" max="8980" width="14.5" style="8" customWidth="1"/>
    <col min="8981" max="8981" width="12.25" style="8" customWidth="1"/>
    <col min="8982" max="8982" width="17.375" style="8" customWidth="1"/>
    <col min="8983" max="8983" width="5.125" style="8" customWidth="1"/>
    <col min="8984" max="8984" width="11.375" style="8" customWidth="1"/>
    <col min="8985" max="8985" width="10.875" style="8" customWidth="1"/>
    <col min="8986" max="8986" width="8.125" style="8" customWidth="1"/>
    <col min="8987" max="9214" width="9" style="8"/>
    <col min="9215" max="9215" width="4" style="8" customWidth="1"/>
    <col min="9216" max="9216" width="12.125" style="8" customWidth="1"/>
    <col min="9217" max="9217" width="7.625" style="8" customWidth="1"/>
    <col min="9218" max="9218" width="15.5" style="8" customWidth="1"/>
    <col min="9219" max="9219" width="8.375" style="8" customWidth="1"/>
    <col min="9220" max="9220" width="4" style="8" customWidth="1"/>
    <col min="9221" max="9221" width="4.875" style="8" customWidth="1"/>
    <col min="9222" max="9222" width="7.125" style="8" customWidth="1"/>
    <col min="9223" max="9223" width="4.5" style="8" customWidth="1"/>
    <col min="9224" max="9224" width="4.875" style="8" customWidth="1"/>
    <col min="9225" max="9225" width="7.5" style="8" customWidth="1"/>
    <col min="9226" max="9226" width="4.625" style="8" customWidth="1"/>
    <col min="9227" max="9227" width="6.375" style="8" customWidth="1"/>
    <col min="9228" max="9228" width="7.25" style="8" customWidth="1"/>
    <col min="9229" max="9229" width="0" style="8" hidden="1" customWidth="1"/>
    <col min="9230" max="9230" width="7" style="8" customWidth="1"/>
    <col min="9231" max="9231" width="5.25" style="8" customWidth="1"/>
    <col min="9232" max="9232" width="7.5" style="8" customWidth="1"/>
    <col min="9233" max="9233" width="7.25" style="8" customWidth="1"/>
    <col min="9234" max="9234" width="6.625" style="8" customWidth="1"/>
    <col min="9235" max="9235" width="6.75" style="8" customWidth="1"/>
    <col min="9236" max="9236" width="14.5" style="8" customWidth="1"/>
    <col min="9237" max="9237" width="12.25" style="8" customWidth="1"/>
    <col min="9238" max="9238" width="17.375" style="8" customWidth="1"/>
    <col min="9239" max="9239" width="5.125" style="8" customWidth="1"/>
    <col min="9240" max="9240" width="11.375" style="8" customWidth="1"/>
    <col min="9241" max="9241" width="10.875" style="8" customWidth="1"/>
    <col min="9242" max="9242" width="8.125" style="8" customWidth="1"/>
    <col min="9243" max="9470" width="9" style="8"/>
    <col min="9471" max="9471" width="4" style="8" customWidth="1"/>
    <col min="9472" max="9472" width="12.125" style="8" customWidth="1"/>
    <col min="9473" max="9473" width="7.625" style="8" customWidth="1"/>
    <col min="9474" max="9474" width="15.5" style="8" customWidth="1"/>
    <col min="9475" max="9475" width="8.375" style="8" customWidth="1"/>
    <col min="9476" max="9476" width="4" style="8" customWidth="1"/>
    <col min="9477" max="9477" width="4.875" style="8" customWidth="1"/>
    <col min="9478" max="9478" width="7.125" style="8" customWidth="1"/>
    <col min="9479" max="9479" width="4.5" style="8" customWidth="1"/>
    <col min="9480" max="9480" width="4.875" style="8" customWidth="1"/>
    <col min="9481" max="9481" width="7.5" style="8" customWidth="1"/>
    <col min="9482" max="9482" width="4.625" style="8" customWidth="1"/>
    <col min="9483" max="9483" width="6.375" style="8" customWidth="1"/>
    <col min="9484" max="9484" width="7.25" style="8" customWidth="1"/>
    <col min="9485" max="9485" width="0" style="8" hidden="1" customWidth="1"/>
    <col min="9486" max="9486" width="7" style="8" customWidth="1"/>
    <col min="9487" max="9487" width="5.25" style="8" customWidth="1"/>
    <col min="9488" max="9488" width="7.5" style="8" customWidth="1"/>
    <col min="9489" max="9489" width="7.25" style="8" customWidth="1"/>
    <col min="9490" max="9490" width="6.625" style="8" customWidth="1"/>
    <col min="9491" max="9491" width="6.75" style="8" customWidth="1"/>
    <col min="9492" max="9492" width="14.5" style="8" customWidth="1"/>
    <col min="9493" max="9493" width="12.25" style="8" customWidth="1"/>
    <col min="9494" max="9494" width="17.375" style="8" customWidth="1"/>
    <col min="9495" max="9495" width="5.125" style="8" customWidth="1"/>
    <col min="9496" max="9496" width="11.375" style="8" customWidth="1"/>
    <col min="9497" max="9497" width="10.875" style="8" customWidth="1"/>
    <col min="9498" max="9498" width="8.125" style="8" customWidth="1"/>
    <col min="9499" max="9726" width="9" style="8"/>
    <col min="9727" max="9727" width="4" style="8" customWidth="1"/>
    <col min="9728" max="9728" width="12.125" style="8" customWidth="1"/>
    <col min="9729" max="9729" width="7.625" style="8" customWidth="1"/>
    <col min="9730" max="9730" width="15.5" style="8" customWidth="1"/>
    <col min="9731" max="9731" width="8.375" style="8" customWidth="1"/>
    <col min="9732" max="9732" width="4" style="8" customWidth="1"/>
    <col min="9733" max="9733" width="4.875" style="8" customWidth="1"/>
    <col min="9734" max="9734" width="7.125" style="8" customWidth="1"/>
    <col min="9735" max="9735" width="4.5" style="8" customWidth="1"/>
    <col min="9736" max="9736" width="4.875" style="8" customWidth="1"/>
    <col min="9737" max="9737" width="7.5" style="8" customWidth="1"/>
    <col min="9738" max="9738" width="4.625" style="8" customWidth="1"/>
    <col min="9739" max="9739" width="6.375" style="8" customWidth="1"/>
    <col min="9740" max="9740" width="7.25" style="8" customWidth="1"/>
    <col min="9741" max="9741" width="0" style="8" hidden="1" customWidth="1"/>
    <col min="9742" max="9742" width="7" style="8" customWidth="1"/>
    <col min="9743" max="9743" width="5.25" style="8" customWidth="1"/>
    <col min="9744" max="9744" width="7.5" style="8" customWidth="1"/>
    <col min="9745" max="9745" width="7.25" style="8" customWidth="1"/>
    <col min="9746" max="9746" width="6.625" style="8" customWidth="1"/>
    <col min="9747" max="9747" width="6.75" style="8" customWidth="1"/>
    <col min="9748" max="9748" width="14.5" style="8" customWidth="1"/>
    <col min="9749" max="9749" width="12.25" style="8" customWidth="1"/>
    <col min="9750" max="9750" width="17.375" style="8" customWidth="1"/>
    <col min="9751" max="9751" width="5.125" style="8" customWidth="1"/>
    <col min="9752" max="9752" width="11.375" style="8" customWidth="1"/>
    <col min="9753" max="9753" width="10.875" style="8" customWidth="1"/>
    <col min="9754" max="9754" width="8.125" style="8" customWidth="1"/>
    <col min="9755" max="9982" width="9" style="8"/>
    <col min="9983" max="9983" width="4" style="8" customWidth="1"/>
    <col min="9984" max="9984" width="12.125" style="8" customWidth="1"/>
    <col min="9985" max="9985" width="7.625" style="8" customWidth="1"/>
    <col min="9986" max="9986" width="15.5" style="8" customWidth="1"/>
    <col min="9987" max="9987" width="8.375" style="8" customWidth="1"/>
    <col min="9988" max="9988" width="4" style="8" customWidth="1"/>
    <col min="9989" max="9989" width="4.875" style="8" customWidth="1"/>
    <col min="9990" max="9990" width="7.125" style="8" customWidth="1"/>
    <col min="9991" max="9991" width="4.5" style="8" customWidth="1"/>
    <col min="9992" max="9992" width="4.875" style="8" customWidth="1"/>
    <col min="9993" max="9993" width="7.5" style="8" customWidth="1"/>
    <col min="9994" max="9994" width="4.625" style="8" customWidth="1"/>
    <col min="9995" max="9995" width="6.375" style="8" customWidth="1"/>
    <col min="9996" max="9996" width="7.25" style="8" customWidth="1"/>
    <col min="9997" max="9997" width="0" style="8" hidden="1" customWidth="1"/>
    <col min="9998" max="9998" width="7" style="8" customWidth="1"/>
    <col min="9999" max="9999" width="5.25" style="8" customWidth="1"/>
    <col min="10000" max="10000" width="7.5" style="8" customWidth="1"/>
    <col min="10001" max="10001" width="7.25" style="8" customWidth="1"/>
    <col min="10002" max="10002" width="6.625" style="8" customWidth="1"/>
    <col min="10003" max="10003" width="6.75" style="8" customWidth="1"/>
    <col min="10004" max="10004" width="14.5" style="8" customWidth="1"/>
    <col min="10005" max="10005" width="12.25" style="8" customWidth="1"/>
    <col min="10006" max="10006" width="17.375" style="8" customWidth="1"/>
    <col min="10007" max="10007" width="5.125" style="8" customWidth="1"/>
    <col min="10008" max="10008" width="11.375" style="8" customWidth="1"/>
    <col min="10009" max="10009" width="10.875" style="8" customWidth="1"/>
    <col min="10010" max="10010" width="8.125" style="8" customWidth="1"/>
    <col min="10011" max="10238" width="9" style="8"/>
    <col min="10239" max="10239" width="4" style="8" customWidth="1"/>
    <col min="10240" max="10240" width="12.125" style="8" customWidth="1"/>
    <col min="10241" max="10241" width="7.625" style="8" customWidth="1"/>
    <col min="10242" max="10242" width="15.5" style="8" customWidth="1"/>
    <col min="10243" max="10243" width="8.375" style="8" customWidth="1"/>
    <col min="10244" max="10244" width="4" style="8" customWidth="1"/>
    <col min="10245" max="10245" width="4.875" style="8" customWidth="1"/>
    <col min="10246" max="10246" width="7.125" style="8" customWidth="1"/>
    <col min="10247" max="10247" width="4.5" style="8" customWidth="1"/>
    <col min="10248" max="10248" width="4.875" style="8" customWidth="1"/>
    <col min="10249" max="10249" width="7.5" style="8" customWidth="1"/>
    <col min="10250" max="10250" width="4.625" style="8" customWidth="1"/>
    <col min="10251" max="10251" width="6.375" style="8" customWidth="1"/>
    <col min="10252" max="10252" width="7.25" style="8" customWidth="1"/>
    <col min="10253" max="10253" width="0" style="8" hidden="1" customWidth="1"/>
    <col min="10254" max="10254" width="7" style="8" customWidth="1"/>
    <col min="10255" max="10255" width="5.25" style="8" customWidth="1"/>
    <col min="10256" max="10256" width="7.5" style="8" customWidth="1"/>
    <col min="10257" max="10257" width="7.25" style="8" customWidth="1"/>
    <col min="10258" max="10258" width="6.625" style="8" customWidth="1"/>
    <col min="10259" max="10259" width="6.75" style="8" customWidth="1"/>
    <col min="10260" max="10260" width="14.5" style="8" customWidth="1"/>
    <col min="10261" max="10261" width="12.25" style="8" customWidth="1"/>
    <col min="10262" max="10262" width="17.375" style="8" customWidth="1"/>
    <col min="10263" max="10263" width="5.125" style="8" customWidth="1"/>
    <col min="10264" max="10264" width="11.375" style="8" customWidth="1"/>
    <col min="10265" max="10265" width="10.875" style="8" customWidth="1"/>
    <col min="10266" max="10266" width="8.125" style="8" customWidth="1"/>
    <col min="10267" max="10494" width="9" style="8"/>
    <col min="10495" max="10495" width="4" style="8" customWidth="1"/>
    <col min="10496" max="10496" width="12.125" style="8" customWidth="1"/>
    <col min="10497" max="10497" width="7.625" style="8" customWidth="1"/>
    <col min="10498" max="10498" width="15.5" style="8" customWidth="1"/>
    <col min="10499" max="10499" width="8.375" style="8" customWidth="1"/>
    <col min="10500" max="10500" width="4" style="8" customWidth="1"/>
    <col min="10501" max="10501" width="4.875" style="8" customWidth="1"/>
    <col min="10502" max="10502" width="7.125" style="8" customWidth="1"/>
    <col min="10503" max="10503" width="4.5" style="8" customWidth="1"/>
    <col min="10504" max="10504" width="4.875" style="8" customWidth="1"/>
    <col min="10505" max="10505" width="7.5" style="8" customWidth="1"/>
    <col min="10506" max="10506" width="4.625" style="8" customWidth="1"/>
    <col min="10507" max="10507" width="6.375" style="8" customWidth="1"/>
    <col min="10508" max="10508" width="7.25" style="8" customWidth="1"/>
    <col min="10509" max="10509" width="0" style="8" hidden="1" customWidth="1"/>
    <col min="10510" max="10510" width="7" style="8" customWidth="1"/>
    <col min="10511" max="10511" width="5.25" style="8" customWidth="1"/>
    <col min="10512" max="10512" width="7.5" style="8" customWidth="1"/>
    <col min="10513" max="10513" width="7.25" style="8" customWidth="1"/>
    <col min="10514" max="10514" width="6.625" style="8" customWidth="1"/>
    <col min="10515" max="10515" width="6.75" style="8" customWidth="1"/>
    <col min="10516" max="10516" width="14.5" style="8" customWidth="1"/>
    <col min="10517" max="10517" width="12.25" style="8" customWidth="1"/>
    <col min="10518" max="10518" width="17.375" style="8" customWidth="1"/>
    <col min="10519" max="10519" width="5.125" style="8" customWidth="1"/>
    <col min="10520" max="10520" width="11.375" style="8" customWidth="1"/>
    <col min="10521" max="10521" width="10.875" style="8" customWidth="1"/>
    <col min="10522" max="10522" width="8.125" style="8" customWidth="1"/>
    <col min="10523" max="10750" width="9" style="8"/>
    <col min="10751" max="10751" width="4" style="8" customWidth="1"/>
    <col min="10752" max="10752" width="12.125" style="8" customWidth="1"/>
    <col min="10753" max="10753" width="7.625" style="8" customWidth="1"/>
    <col min="10754" max="10754" width="15.5" style="8" customWidth="1"/>
    <col min="10755" max="10755" width="8.375" style="8" customWidth="1"/>
    <col min="10756" max="10756" width="4" style="8" customWidth="1"/>
    <col min="10757" max="10757" width="4.875" style="8" customWidth="1"/>
    <col min="10758" max="10758" width="7.125" style="8" customWidth="1"/>
    <col min="10759" max="10759" width="4.5" style="8" customWidth="1"/>
    <col min="10760" max="10760" width="4.875" style="8" customWidth="1"/>
    <col min="10761" max="10761" width="7.5" style="8" customWidth="1"/>
    <col min="10762" max="10762" width="4.625" style="8" customWidth="1"/>
    <col min="10763" max="10763" width="6.375" style="8" customWidth="1"/>
    <col min="10764" max="10764" width="7.25" style="8" customWidth="1"/>
    <col min="10765" max="10765" width="0" style="8" hidden="1" customWidth="1"/>
    <col min="10766" max="10766" width="7" style="8" customWidth="1"/>
    <col min="10767" max="10767" width="5.25" style="8" customWidth="1"/>
    <col min="10768" max="10768" width="7.5" style="8" customWidth="1"/>
    <col min="10769" max="10769" width="7.25" style="8" customWidth="1"/>
    <col min="10770" max="10770" width="6.625" style="8" customWidth="1"/>
    <col min="10771" max="10771" width="6.75" style="8" customWidth="1"/>
    <col min="10772" max="10772" width="14.5" style="8" customWidth="1"/>
    <col min="10773" max="10773" width="12.25" style="8" customWidth="1"/>
    <col min="10774" max="10774" width="17.375" style="8" customWidth="1"/>
    <col min="10775" max="10775" width="5.125" style="8" customWidth="1"/>
    <col min="10776" max="10776" width="11.375" style="8" customWidth="1"/>
    <col min="10777" max="10777" width="10.875" style="8" customWidth="1"/>
    <col min="10778" max="10778" width="8.125" style="8" customWidth="1"/>
    <col min="10779" max="11006" width="9" style="8"/>
    <col min="11007" max="11007" width="4" style="8" customWidth="1"/>
    <col min="11008" max="11008" width="12.125" style="8" customWidth="1"/>
    <col min="11009" max="11009" width="7.625" style="8" customWidth="1"/>
    <col min="11010" max="11010" width="15.5" style="8" customWidth="1"/>
    <col min="11011" max="11011" width="8.375" style="8" customWidth="1"/>
    <col min="11012" max="11012" width="4" style="8" customWidth="1"/>
    <col min="11013" max="11013" width="4.875" style="8" customWidth="1"/>
    <col min="11014" max="11014" width="7.125" style="8" customWidth="1"/>
    <col min="11015" max="11015" width="4.5" style="8" customWidth="1"/>
    <col min="11016" max="11016" width="4.875" style="8" customWidth="1"/>
    <col min="11017" max="11017" width="7.5" style="8" customWidth="1"/>
    <col min="11018" max="11018" width="4.625" style="8" customWidth="1"/>
    <col min="11019" max="11019" width="6.375" style="8" customWidth="1"/>
    <col min="11020" max="11020" width="7.25" style="8" customWidth="1"/>
    <col min="11021" max="11021" width="0" style="8" hidden="1" customWidth="1"/>
    <col min="11022" max="11022" width="7" style="8" customWidth="1"/>
    <col min="11023" max="11023" width="5.25" style="8" customWidth="1"/>
    <col min="11024" max="11024" width="7.5" style="8" customWidth="1"/>
    <col min="11025" max="11025" width="7.25" style="8" customWidth="1"/>
    <col min="11026" max="11026" width="6.625" style="8" customWidth="1"/>
    <col min="11027" max="11027" width="6.75" style="8" customWidth="1"/>
    <col min="11028" max="11028" width="14.5" style="8" customWidth="1"/>
    <col min="11029" max="11029" width="12.25" style="8" customWidth="1"/>
    <col min="11030" max="11030" width="17.375" style="8" customWidth="1"/>
    <col min="11031" max="11031" width="5.125" style="8" customWidth="1"/>
    <col min="11032" max="11032" width="11.375" style="8" customWidth="1"/>
    <col min="11033" max="11033" width="10.875" style="8" customWidth="1"/>
    <col min="11034" max="11034" width="8.125" style="8" customWidth="1"/>
    <col min="11035" max="11262" width="9" style="8"/>
    <col min="11263" max="11263" width="4" style="8" customWidth="1"/>
    <col min="11264" max="11264" width="12.125" style="8" customWidth="1"/>
    <col min="11265" max="11265" width="7.625" style="8" customWidth="1"/>
    <col min="11266" max="11266" width="15.5" style="8" customWidth="1"/>
    <col min="11267" max="11267" width="8.375" style="8" customWidth="1"/>
    <col min="11268" max="11268" width="4" style="8" customWidth="1"/>
    <col min="11269" max="11269" width="4.875" style="8" customWidth="1"/>
    <col min="11270" max="11270" width="7.125" style="8" customWidth="1"/>
    <col min="11271" max="11271" width="4.5" style="8" customWidth="1"/>
    <col min="11272" max="11272" width="4.875" style="8" customWidth="1"/>
    <col min="11273" max="11273" width="7.5" style="8" customWidth="1"/>
    <col min="11274" max="11274" width="4.625" style="8" customWidth="1"/>
    <col min="11275" max="11275" width="6.375" style="8" customWidth="1"/>
    <col min="11276" max="11276" width="7.25" style="8" customWidth="1"/>
    <col min="11277" max="11277" width="0" style="8" hidden="1" customWidth="1"/>
    <col min="11278" max="11278" width="7" style="8" customWidth="1"/>
    <col min="11279" max="11279" width="5.25" style="8" customWidth="1"/>
    <col min="11280" max="11280" width="7.5" style="8" customWidth="1"/>
    <col min="11281" max="11281" width="7.25" style="8" customWidth="1"/>
    <col min="11282" max="11282" width="6.625" style="8" customWidth="1"/>
    <col min="11283" max="11283" width="6.75" style="8" customWidth="1"/>
    <col min="11284" max="11284" width="14.5" style="8" customWidth="1"/>
    <col min="11285" max="11285" width="12.25" style="8" customWidth="1"/>
    <col min="11286" max="11286" width="17.375" style="8" customWidth="1"/>
    <col min="11287" max="11287" width="5.125" style="8" customWidth="1"/>
    <col min="11288" max="11288" width="11.375" style="8" customWidth="1"/>
    <col min="11289" max="11289" width="10.875" style="8" customWidth="1"/>
    <col min="11290" max="11290" width="8.125" style="8" customWidth="1"/>
    <col min="11291" max="11518" width="9" style="8"/>
    <col min="11519" max="11519" width="4" style="8" customWidth="1"/>
    <col min="11520" max="11520" width="12.125" style="8" customWidth="1"/>
    <col min="11521" max="11521" width="7.625" style="8" customWidth="1"/>
    <col min="11522" max="11522" width="15.5" style="8" customWidth="1"/>
    <col min="11523" max="11523" width="8.375" style="8" customWidth="1"/>
    <col min="11524" max="11524" width="4" style="8" customWidth="1"/>
    <col min="11525" max="11525" width="4.875" style="8" customWidth="1"/>
    <col min="11526" max="11526" width="7.125" style="8" customWidth="1"/>
    <col min="11527" max="11527" width="4.5" style="8" customWidth="1"/>
    <col min="11528" max="11528" width="4.875" style="8" customWidth="1"/>
    <col min="11529" max="11529" width="7.5" style="8" customWidth="1"/>
    <col min="11530" max="11530" width="4.625" style="8" customWidth="1"/>
    <col min="11531" max="11531" width="6.375" style="8" customWidth="1"/>
    <col min="11532" max="11532" width="7.25" style="8" customWidth="1"/>
    <col min="11533" max="11533" width="0" style="8" hidden="1" customWidth="1"/>
    <col min="11534" max="11534" width="7" style="8" customWidth="1"/>
    <col min="11535" max="11535" width="5.25" style="8" customWidth="1"/>
    <col min="11536" max="11536" width="7.5" style="8" customWidth="1"/>
    <col min="11537" max="11537" width="7.25" style="8" customWidth="1"/>
    <col min="11538" max="11538" width="6.625" style="8" customWidth="1"/>
    <col min="11539" max="11539" width="6.75" style="8" customWidth="1"/>
    <col min="11540" max="11540" width="14.5" style="8" customWidth="1"/>
    <col min="11541" max="11541" width="12.25" style="8" customWidth="1"/>
    <col min="11542" max="11542" width="17.375" style="8" customWidth="1"/>
    <col min="11543" max="11543" width="5.125" style="8" customWidth="1"/>
    <col min="11544" max="11544" width="11.375" style="8" customWidth="1"/>
    <col min="11545" max="11545" width="10.875" style="8" customWidth="1"/>
    <col min="11546" max="11546" width="8.125" style="8" customWidth="1"/>
    <col min="11547" max="11774" width="9" style="8"/>
    <col min="11775" max="11775" width="4" style="8" customWidth="1"/>
    <col min="11776" max="11776" width="12.125" style="8" customWidth="1"/>
    <col min="11777" max="11777" width="7.625" style="8" customWidth="1"/>
    <col min="11778" max="11778" width="15.5" style="8" customWidth="1"/>
    <col min="11779" max="11779" width="8.375" style="8" customWidth="1"/>
    <col min="11780" max="11780" width="4" style="8" customWidth="1"/>
    <col min="11781" max="11781" width="4.875" style="8" customWidth="1"/>
    <col min="11782" max="11782" width="7.125" style="8" customWidth="1"/>
    <col min="11783" max="11783" width="4.5" style="8" customWidth="1"/>
    <col min="11784" max="11784" width="4.875" style="8" customWidth="1"/>
    <col min="11785" max="11785" width="7.5" style="8" customWidth="1"/>
    <col min="11786" max="11786" width="4.625" style="8" customWidth="1"/>
    <col min="11787" max="11787" width="6.375" style="8" customWidth="1"/>
    <col min="11788" max="11788" width="7.25" style="8" customWidth="1"/>
    <col min="11789" max="11789" width="0" style="8" hidden="1" customWidth="1"/>
    <col min="11790" max="11790" width="7" style="8" customWidth="1"/>
    <col min="11791" max="11791" width="5.25" style="8" customWidth="1"/>
    <col min="11792" max="11792" width="7.5" style="8" customWidth="1"/>
    <col min="11793" max="11793" width="7.25" style="8" customWidth="1"/>
    <col min="11794" max="11794" width="6.625" style="8" customWidth="1"/>
    <col min="11795" max="11795" width="6.75" style="8" customWidth="1"/>
    <col min="11796" max="11796" width="14.5" style="8" customWidth="1"/>
    <col min="11797" max="11797" width="12.25" style="8" customWidth="1"/>
    <col min="11798" max="11798" width="17.375" style="8" customWidth="1"/>
    <col min="11799" max="11799" width="5.125" style="8" customWidth="1"/>
    <col min="11800" max="11800" width="11.375" style="8" customWidth="1"/>
    <col min="11801" max="11801" width="10.875" style="8" customWidth="1"/>
    <col min="11802" max="11802" width="8.125" style="8" customWidth="1"/>
    <col min="11803" max="12030" width="9" style="8"/>
    <col min="12031" max="12031" width="4" style="8" customWidth="1"/>
    <col min="12032" max="12032" width="12.125" style="8" customWidth="1"/>
    <col min="12033" max="12033" width="7.625" style="8" customWidth="1"/>
    <col min="12034" max="12034" width="15.5" style="8" customWidth="1"/>
    <col min="12035" max="12035" width="8.375" style="8" customWidth="1"/>
    <col min="12036" max="12036" width="4" style="8" customWidth="1"/>
    <col min="12037" max="12037" width="4.875" style="8" customWidth="1"/>
    <col min="12038" max="12038" width="7.125" style="8" customWidth="1"/>
    <col min="12039" max="12039" width="4.5" style="8" customWidth="1"/>
    <col min="12040" max="12040" width="4.875" style="8" customWidth="1"/>
    <col min="12041" max="12041" width="7.5" style="8" customWidth="1"/>
    <col min="12042" max="12042" width="4.625" style="8" customWidth="1"/>
    <col min="12043" max="12043" width="6.375" style="8" customWidth="1"/>
    <col min="12044" max="12044" width="7.25" style="8" customWidth="1"/>
    <col min="12045" max="12045" width="0" style="8" hidden="1" customWidth="1"/>
    <col min="12046" max="12046" width="7" style="8" customWidth="1"/>
    <col min="12047" max="12047" width="5.25" style="8" customWidth="1"/>
    <col min="12048" max="12048" width="7.5" style="8" customWidth="1"/>
    <col min="12049" max="12049" width="7.25" style="8" customWidth="1"/>
    <col min="12050" max="12050" width="6.625" style="8" customWidth="1"/>
    <col min="12051" max="12051" width="6.75" style="8" customWidth="1"/>
    <col min="12052" max="12052" width="14.5" style="8" customWidth="1"/>
    <col min="12053" max="12053" width="12.25" style="8" customWidth="1"/>
    <col min="12054" max="12054" width="17.375" style="8" customWidth="1"/>
    <col min="12055" max="12055" width="5.125" style="8" customWidth="1"/>
    <col min="12056" max="12056" width="11.375" style="8" customWidth="1"/>
    <col min="12057" max="12057" width="10.875" style="8" customWidth="1"/>
    <col min="12058" max="12058" width="8.125" style="8" customWidth="1"/>
    <col min="12059" max="12286" width="9" style="8"/>
    <col min="12287" max="12287" width="4" style="8" customWidth="1"/>
    <col min="12288" max="12288" width="12.125" style="8" customWidth="1"/>
    <col min="12289" max="12289" width="7.625" style="8" customWidth="1"/>
    <col min="12290" max="12290" width="15.5" style="8" customWidth="1"/>
    <col min="12291" max="12291" width="8.375" style="8" customWidth="1"/>
    <col min="12292" max="12292" width="4" style="8" customWidth="1"/>
    <col min="12293" max="12293" width="4.875" style="8" customWidth="1"/>
    <col min="12294" max="12294" width="7.125" style="8" customWidth="1"/>
    <col min="12295" max="12295" width="4.5" style="8" customWidth="1"/>
    <col min="12296" max="12296" width="4.875" style="8" customWidth="1"/>
    <col min="12297" max="12297" width="7.5" style="8" customWidth="1"/>
    <col min="12298" max="12298" width="4.625" style="8" customWidth="1"/>
    <col min="12299" max="12299" width="6.375" style="8" customWidth="1"/>
    <col min="12300" max="12300" width="7.25" style="8" customWidth="1"/>
    <col min="12301" max="12301" width="0" style="8" hidden="1" customWidth="1"/>
    <col min="12302" max="12302" width="7" style="8" customWidth="1"/>
    <col min="12303" max="12303" width="5.25" style="8" customWidth="1"/>
    <col min="12304" max="12304" width="7.5" style="8" customWidth="1"/>
    <col min="12305" max="12305" width="7.25" style="8" customWidth="1"/>
    <col min="12306" max="12306" width="6.625" style="8" customWidth="1"/>
    <col min="12307" max="12307" width="6.75" style="8" customWidth="1"/>
    <col min="12308" max="12308" width="14.5" style="8" customWidth="1"/>
    <col min="12309" max="12309" width="12.25" style="8" customWidth="1"/>
    <col min="12310" max="12310" width="17.375" style="8" customWidth="1"/>
    <col min="12311" max="12311" width="5.125" style="8" customWidth="1"/>
    <col min="12312" max="12312" width="11.375" style="8" customWidth="1"/>
    <col min="12313" max="12313" width="10.875" style="8" customWidth="1"/>
    <col min="12314" max="12314" width="8.125" style="8" customWidth="1"/>
    <col min="12315" max="12542" width="9" style="8"/>
    <col min="12543" max="12543" width="4" style="8" customWidth="1"/>
    <col min="12544" max="12544" width="12.125" style="8" customWidth="1"/>
    <col min="12545" max="12545" width="7.625" style="8" customWidth="1"/>
    <col min="12546" max="12546" width="15.5" style="8" customWidth="1"/>
    <col min="12547" max="12547" width="8.375" style="8" customWidth="1"/>
    <col min="12548" max="12548" width="4" style="8" customWidth="1"/>
    <col min="12549" max="12549" width="4.875" style="8" customWidth="1"/>
    <col min="12550" max="12550" width="7.125" style="8" customWidth="1"/>
    <col min="12551" max="12551" width="4.5" style="8" customWidth="1"/>
    <col min="12552" max="12552" width="4.875" style="8" customWidth="1"/>
    <col min="12553" max="12553" width="7.5" style="8" customWidth="1"/>
    <col min="12554" max="12554" width="4.625" style="8" customWidth="1"/>
    <col min="12555" max="12555" width="6.375" style="8" customWidth="1"/>
    <col min="12556" max="12556" width="7.25" style="8" customWidth="1"/>
    <col min="12557" max="12557" width="0" style="8" hidden="1" customWidth="1"/>
    <col min="12558" max="12558" width="7" style="8" customWidth="1"/>
    <col min="12559" max="12559" width="5.25" style="8" customWidth="1"/>
    <col min="12560" max="12560" width="7.5" style="8" customWidth="1"/>
    <col min="12561" max="12561" width="7.25" style="8" customWidth="1"/>
    <col min="12562" max="12562" width="6.625" style="8" customWidth="1"/>
    <col min="12563" max="12563" width="6.75" style="8" customWidth="1"/>
    <col min="12564" max="12564" width="14.5" style="8" customWidth="1"/>
    <col min="12565" max="12565" width="12.25" style="8" customWidth="1"/>
    <col min="12566" max="12566" width="17.375" style="8" customWidth="1"/>
    <col min="12567" max="12567" width="5.125" style="8" customWidth="1"/>
    <col min="12568" max="12568" width="11.375" style="8" customWidth="1"/>
    <col min="12569" max="12569" width="10.875" style="8" customWidth="1"/>
    <col min="12570" max="12570" width="8.125" style="8" customWidth="1"/>
    <col min="12571" max="12798" width="9" style="8"/>
    <col min="12799" max="12799" width="4" style="8" customWidth="1"/>
    <col min="12800" max="12800" width="12.125" style="8" customWidth="1"/>
    <col min="12801" max="12801" width="7.625" style="8" customWidth="1"/>
    <col min="12802" max="12802" width="15.5" style="8" customWidth="1"/>
    <col min="12803" max="12803" width="8.375" style="8" customWidth="1"/>
    <col min="12804" max="12804" width="4" style="8" customWidth="1"/>
    <col min="12805" max="12805" width="4.875" style="8" customWidth="1"/>
    <col min="12806" max="12806" width="7.125" style="8" customWidth="1"/>
    <col min="12807" max="12807" width="4.5" style="8" customWidth="1"/>
    <col min="12808" max="12808" width="4.875" style="8" customWidth="1"/>
    <col min="12809" max="12809" width="7.5" style="8" customWidth="1"/>
    <col min="12810" max="12810" width="4.625" style="8" customWidth="1"/>
    <col min="12811" max="12811" width="6.375" style="8" customWidth="1"/>
    <col min="12812" max="12812" width="7.25" style="8" customWidth="1"/>
    <col min="12813" max="12813" width="0" style="8" hidden="1" customWidth="1"/>
    <col min="12814" max="12814" width="7" style="8" customWidth="1"/>
    <col min="12815" max="12815" width="5.25" style="8" customWidth="1"/>
    <col min="12816" max="12816" width="7.5" style="8" customWidth="1"/>
    <col min="12817" max="12817" width="7.25" style="8" customWidth="1"/>
    <col min="12818" max="12818" width="6.625" style="8" customWidth="1"/>
    <col min="12819" max="12819" width="6.75" style="8" customWidth="1"/>
    <col min="12820" max="12820" width="14.5" style="8" customWidth="1"/>
    <col min="12821" max="12821" width="12.25" style="8" customWidth="1"/>
    <col min="12822" max="12822" width="17.375" style="8" customWidth="1"/>
    <col min="12823" max="12823" width="5.125" style="8" customWidth="1"/>
    <col min="12824" max="12824" width="11.375" style="8" customWidth="1"/>
    <col min="12825" max="12825" width="10.875" style="8" customWidth="1"/>
    <col min="12826" max="12826" width="8.125" style="8" customWidth="1"/>
    <col min="12827" max="13054" width="9" style="8"/>
    <col min="13055" max="13055" width="4" style="8" customWidth="1"/>
    <col min="13056" max="13056" width="12.125" style="8" customWidth="1"/>
    <col min="13057" max="13057" width="7.625" style="8" customWidth="1"/>
    <col min="13058" max="13058" width="15.5" style="8" customWidth="1"/>
    <col min="13059" max="13059" width="8.375" style="8" customWidth="1"/>
    <col min="13060" max="13060" width="4" style="8" customWidth="1"/>
    <col min="13061" max="13061" width="4.875" style="8" customWidth="1"/>
    <col min="13062" max="13062" width="7.125" style="8" customWidth="1"/>
    <col min="13063" max="13063" width="4.5" style="8" customWidth="1"/>
    <col min="13064" max="13064" width="4.875" style="8" customWidth="1"/>
    <col min="13065" max="13065" width="7.5" style="8" customWidth="1"/>
    <col min="13066" max="13066" width="4.625" style="8" customWidth="1"/>
    <col min="13067" max="13067" width="6.375" style="8" customWidth="1"/>
    <col min="13068" max="13068" width="7.25" style="8" customWidth="1"/>
    <col min="13069" max="13069" width="0" style="8" hidden="1" customWidth="1"/>
    <col min="13070" max="13070" width="7" style="8" customWidth="1"/>
    <col min="13071" max="13071" width="5.25" style="8" customWidth="1"/>
    <col min="13072" max="13072" width="7.5" style="8" customWidth="1"/>
    <col min="13073" max="13073" width="7.25" style="8" customWidth="1"/>
    <col min="13074" max="13074" width="6.625" style="8" customWidth="1"/>
    <col min="13075" max="13075" width="6.75" style="8" customWidth="1"/>
    <col min="13076" max="13076" width="14.5" style="8" customWidth="1"/>
    <col min="13077" max="13077" width="12.25" style="8" customWidth="1"/>
    <col min="13078" max="13078" width="17.375" style="8" customWidth="1"/>
    <col min="13079" max="13079" width="5.125" style="8" customWidth="1"/>
    <col min="13080" max="13080" width="11.375" style="8" customWidth="1"/>
    <col min="13081" max="13081" width="10.875" style="8" customWidth="1"/>
    <col min="13082" max="13082" width="8.125" style="8" customWidth="1"/>
    <col min="13083" max="13310" width="9" style="8"/>
    <col min="13311" max="13311" width="4" style="8" customWidth="1"/>
    <col min="13312" max="13312" width="12.125" style="8" customWidth="1"/>
    <col min="13313" max="13313" width="7.625" style="8" customWidth="1"/>
    <col min="13314" max="13314" width="15.5" style="8" customWidth="1"/>
    <col min="13315" max="13315" width="8.375" style="8" customWidth="1"/>
    <col min="13316" max="13316" width="4" style="8" customWidth="1"/>
    <col min="13317" max="13317" width="4.875" style="8" customWidth="1"/>
    <col min="13318" max="13318" width="7.125" style="8" customWidth="1"/>
    <col min="13319" max="13319" width="4.5" style="8" customWidth="1"/>
    <col min="13320" max="13320" width="4.875" style="8" customWidth="1"/>
    <col min="13321" max="13321" width="7.5" style="8" customWidth="1"/>
    <col min="13322" max="13322" width="4.625" style="8" customWidth="1"/>
    <col min="13323" max="13323" width="6.375" style="8" customWidth="1"/>
    <col min="13324" max="13324" width="7.25" style="8" customWidth="1"/>
    <col min="13325" max="13325" width="0" style="8" hidden="1" customWidth="1"/>
    <col min="13326" max="13326" width="7" style="8" customWidth="1"/>
    <col min="13327" max="13327" width="5.25" style="8" customWidth="1"/>
    <col min="13328" max="13328" width="7.5" style="8" customWidth="1"/>
    <col min="13329" max="13329" width="7.25" style="8" customWidth="1"/>
    <col min="13330" max="13330" width="6.625" style="8" customWidth="1"/>
    <col min="13331" max="13331" width="6.75" style="8" customWidth="1"/>
    <col min="13332" max="13332" width="14.5" style="8" customWidth="1"/>
    <col min="13333" max="13333" width="12.25" style="8" customWidth="1"/>
    <col min="13334" max="13334" width="17.375" style="8" customWidth="1"/>
    <col min="13335" max="13335" width="5.125" style="8" customWidth="1"/>
    <col min="13336" max="13336" width="11.375" style="8" customWidth="1"/>
    <col min="13337" max="13337" width="10.875" style="8" customWidth="1"/>
    <col min="13338" max="13338" width="8.125" style="8" customWidth="1"/>
    <col min="13339" max="13566" width="9" style="8"/>
    <col min="13567" max="13567" width="4" style="8" customWidth="1"/>
    <col min="13568" max="13568" width="12.125" style="8" customWidth="1"/>
    <col min="13569" max="13569" width="7.625" style="8" customWidth="1"/>
    <col min="13570" max="13570" width="15.5" style="8" customWidth="1"/>
    <col min="13571" max="13571" width="8.375" style="8" customWidth="1"/>
    <col min="13572" max="13572" width="4" style="8" customWidth="1"/>
    <col min="13573" max="13573" width="4.875" style="8" customWidth="1"/>
    <col min="13574" max="13574" width="7.125" style="8" customWidth="1"/>
    <col min="13575" max="13575" width="4.5" style="8" customWidth="1"/>
    <col min="13576" max="13576" width="4.875" style="8" customWidth="1"/>
    <col min="13577" max="13577" width="7.5" style="8" customWidth="1"/>
    <col min="13578" max="13578" width="4.625" style="8" customWidth="1"/>
    <col min="13579" max="13579" width="6.375" style="8" customWidth="1"/>
    <col min="13580" max="13580" width="7.25" style="8" customWidth="1"/>
    <col min="13581" max="13581" width="0" style="8" hidden="1" customWidth="1"/>
    <col min="13582" max="13582" width="7" style="8" customWidth="1"/>
    <col min="13583" max="13583" width="5.25" style="8" customWidth="1"/>
    <col min="13584" max="13584" width="7.5" style="8" customWidth="1"/>
    <col min="13585" max="13585" width="7.25" style="8" customWidth="1"/>
    <col min="13586" max="13586" width="6.625" style="8" customWidth="1"/>
    <col min="13587" max="13587" width="6.75" style="8" customWidth="1"/>
    <col min="13588" max="13588" width="14.5" style="8" customWidth="1"/>
    <col min="13589" max="13589" width="12.25" style="8" customWidth="1"/>
    <col min="13590" max="13590" width="17.375" style="8" customWidth="1"/>
    <col min="13591" max="13591" width="5.125" style="8" customWidth="1"/>
    <col min="13592" max="13592" width="11.375" style="8" customWidth="1"/>
    <col min="13593" max="13593" width="10.875" style="8" customWidth="1"/>
    <col min="13594" max="13594" width="8.125" style="8" customWidth="1"/>
    <col min="13595" max="13822" width="9" style="8"/>
    <col min="13823" max="13823" width="4" style="8" customWidth="1"/>
    <col min="13824" max="13824" width="12.125" style="8" customWidth="1"/>
    <col min="13825" max="13825" width="7.625" style="8" customWidth="1"/>
    <col min="13826" max="13826" width="15.5" style="8" customWidth="1"/>
    <col min="13827" max="13827" width="8.375" style="8" customWidth="1"/>
    <col min="13828" max="13828" width="4" style="8" customWidth="1"/>
    <col min="13829" max="13829" width="4.875" style="8" customWidth="1"/>
    <col min="13830" max="13830" width="7.125" style="8" customWidth="1"/>
    <col min="13831" max="13831" width="4.5" style="8" customWidth="1"/>
    <col min="13832" max="13832" width="4.875" style="8" customWidth="1"/>
    <col min="13833" max="13833" width="7.5" style="8" customWidth="1"/>
    <col min="13834" max="13834" width="4.625" style="8" customWidth="1"/>
    <col min="13835" max="13835" width="6.375" style="8" customWidth="1"/>
    <col min="13836" max="13836" width="7.25" style="8" customWidth="1"/>
    <col min="13837" max="13837" width="0" style="8" hidden="1" customWidth="1"/>
    <col min="13838" max="13838" width="7" style="8" customWidth="1"/>
    <col min="13839" max="13839" width="5.25" style="8" customWidth="1"/>
    <col min="13840" max="13840" width="7.5" style="8" customWidth="1"/>
    <col min="13841" max="13841" width="7.25" style="8" customWidth="1"/>
    <col min="13842" max="13842" width="6.625" style="8" customWidth="1"/>
    <col min="13843" max="13843" width="6.75" style="8" customWidth="1"/>
    <col min="13844" max="13844" width="14.5" style="8" customWidth="1"/>
    <col min="13845" max="13845" width="12.25" style="8" customWidth="1"/>
    <col min="13846" max="13846" width="17.375" style="8" customWidth="1"/>
    <col min="13847" max="13847" width="5.125" style="8" customWidth="1"/>
    <col min="13848" max="13848" width="11.375" style="8" customWidth="1"/>
    <col min="13849" max="13849" width="10.875" style="8" customWidth="1"/>
    <col min="13850" max="13850" width="8.125" style="8" customWidth="1"/>
    <col min="13851" max="14078" width="9" style="8"/>
    <col min="14079" max="14079" width="4" style="8" customWidth="1"/>
    <col min="14080" max="14080" width="12.125" style="8" customWidth="1"/>
    <col min="14081" max="14081" width="7.625" style="8" customWidth="1"/>
    <col min="14082" max="14082" width="15.5" style="8" customWidth="1"/>
    <col min="14083" max="14083" width="8.375" style="8" customWidth="1"/>
    <col min="14084" max="14084" width="4" style="8" customWidth="1"/>
    <col min="14085" max="14085" width="4.875" style="8" customWidth="1"/>
    <col min="14086" max="14086" width="7.125" style="8" customWidth="1"/>
    <col min="14087" max="14087" width="4.5" style="8" customWidth="1"/>
    <col min="14088" max="14088" width="4.875" style="8" customWidth="1"/>
    <col min="14089" max="14089" width="7.5" style="8" customWidth="1"/>
    <col min="14090" max="14090" width="4.625" style="8" customWidth="1"/>
    <col min="14091" max="14091" width="6.375" style="8" customWidth="1"/>
    <col min="14092" max="14092" width="7.25" style="8" customWidth="1"/>
    <col min="14093" max="14093" width="0" style="8" hidden="1" customWidth="1"/>
    <col min="14094" max="14094" width="7" style="8" customWidth="1"/>
    <col min="14095" max="14095" width="5.25" style="8" customWidth="1"/>
    <col min="14096" max="14096" width="7.5" style="8" customWidth="1"/>
    <col min="14097" max="14097" width="7.25" style="8" customWidth="1"/>
    <col min="14098" max="14098" width="6.625" style="8" customWidth="1"/>
    <col min="14099" max="14099" width="6.75" style="8" customWidth="1"/>
    <col min="14100" max="14100" width="14.5" style="8" customWidth="1"/>
    <col min="14101" max="14101" width="12.25" style="8" customWidth="1"/>
    <col min="14102" max="14102" width="17.375" style="8" customWidth="1"/>
    <col min="14103" max="14103" width="5.125" style="8" customWidth="1"/>
    <col min="14104" max="14104" width="11.375" style="8" customWidth="1"/>
    <col min="14105" max="14105" width="10.875" style="8" customWidth="1"/>
    <col min="14106" max="14106" width="8.125" style="8" customWidth="1"/>
    <col min="14107" max="14334" width="9" style="8"/>
    <col min="14335" max="14335" width="4" style="8" customWidth="1"/>
    <col min="14336" max="14336" width="12.125" style="8" customWidth="1"/>
    <col min="14337" max="14337" width="7.625" style="8" customWidth="1"/>
    <col min="14338" max="14338" width="15.5" style="8" customWidth="1"/>
    <col min="14339" max="14339" width="8.375" style="8" customWidth="1"/>
    <col min="14340" max="14340" width="4" style="8" customWidth="1"/>
    <col min="14341" max="14341" width="4.875" style="8" customWidth="1"/>
    <col min="14342" max="14342" width="7.125" style="8" customWidth="1"/>
    <col min="14343" max="14343" width="4.5" style="8" customWidth="1"/>
    <col min="14344" max="14344" width="4.875" style="8" customWidth="1"/>
    <col min="14345" max="14345" width="7.5" style="8" customWidth="1"/>
    <col min="14346" max="14346" width="4.625" style="8" customWidth="1"/>
    <col min="14347" max="14347" width="6.375" style="8" customWidth="1"/>
    <col min="14348" max="14348" width="7.25" style="8" customWidth="1"/>
    <col min="14349" max="14349" width="0" style="8" hidden="1" customWidth="1"/>
    <col min="14350" max="14350" width="7" style="8" customWidth="1"/>
    <col min="14351" max="14351" width="5.25" style="8" customWidth="1"/>
    <col min="14352" max="14352" width="7.5" style="8" customWidth="1"/>
    <col min="14353" max="14353" width="7.25" style="8" customWidth="1"/>
    <col min="14354" max="14354" width="6.625" style="8" customWidth="1"/>
    <col min="14355" max="14355" width="6.75" style="8" customWidth="1"/>
    <col min="14356" max="14356" width="14.5" style="8" customWidth="1"/>
    <col min="14357" max="14357" width="12.25" style="8" customWidth="1"/>
    <col min="14358" max="14358" width="17.375" style="8" customWidth="1"/>
    <col min="14359" max="14359" width="5.125" style="8" customWidth="1"/>
    <col min="14360" max="14360" width="11.375" style="8" customWidth="1"/>
    <col min="14361" max="14361" width="10.875" style="8" customWidth="1"/>
    <col min="14362" max="14362" width="8.125" style="8" customWidth="1"/>
    <col min="14363" max="14590" width="9" style="8"/>
    <col min="14591" max="14591" width="4" style="8" customWidth="1"/>
    <col min="14592" max="14592" width="12.125" style="8" customWidth="1"/>
    <col min="14593" max="14593" width="7.625" style="8" customWidth="1"/>
    <col min="14594" max="14594" width="15.5" style="8" customWidth="1"/>
    <col min="14595" max="14595" width="8.375" style="8" customWidth="1"/>
    <col min="14596" max="14596" width="4" style="8" customWidth="1"/>
    <col min="14597" max="14597" width="4.875" style="8" customWidth="1"/>
    <col min="14598" max="14598" width="7.125" style="8" customWidth="1"/>
    <col min="14599" max="14599" width="4.5" style="8" customWidth="1"/>
    <col min="14600" max="14600" width="4.875" style="8" customWidth="1"/>
    <col min="14601" max="14601" width="7.5" style="8" customWidth="1"/>
    <col min="14602" max="14602" width="4.625" style="8" customWidth="1"/>
    <col min="14603" max="14603" width="6.375" style="8" customWidth="1"/>
    <col min="14604" max="14604" width="7.25" style="8" customWidth="1"/>
    <col min="14605" max="14605" width="0" style="8" hidden="1" customWidth="1"/>
    <col min="14606" max="14606" width="7" style="8" customWidth="1"/>
    <col min="14607" max="14607" width="5.25" style="8" customWidth="1"/>
    <col min="14608" max="14608" width="7.5" style="8" customWidth="1"/>
    <col min="14609" max="14609" width="7.25" style="8" customWidth="1"/>
    <col min="14610" max="14610" width="6.625" style="8" customWidth="1"/>
    <col min="14611" max="14611" width="6.75" style="8" customWidth="1"/>
    <col min="14612" max="14612" width="14.5" style="8" customWidth="1"/>
    <col min="14613" max="14613" width="12.25" style="8" customWidth="1"/>
    <col min="14614" max="14614" width="17.375" style="8" customWidth="1"/>
    <col min="14615" max="14615" width="5.125" style="8" customWidth="1"/>
    <col min="14616" max="14616" width="11.375" style="8" customWidth="1"/>
    <col min="14617" max="14617" width="10.875" style="8" customWidth="1"/>
    <col min="14618" max="14618" width="8.125" style="8" customWidth="1"/>
    <col min="14619" max="14846" width="9" style="8"/>
    <col min="14847" max="14847" width="4" style="8" customWidth="1"/>
    <col min="14848" max="14848" width="12.125" style="8" customWidth="1"/>
    <col min="14849" max="14849" width="7.625" style="8" customWidth="1"/>
    <col min="14850" max="14850" width="15.5" style="8" customWidth="1"/>
    <col min="14851" max="14851" width="8.375" style="8" customWidth="1"/>
    <col min="14852" max="14852" width="4" style="8" customWidth="1"/>
    <col min="14853" max="14853" width="4.875" style="8" customWidth="1"/>
    <col min="14854" max="14854" width="7.125" style="8" customWidth="1"/>
    <col min="14855" max="14855" width="4.5" style="8" customWidth="1"/>
    <col min="14856" max="14856" width="4.875" style="8" customWidth="1"/>
    <col min="14857" max="14857" width="7.5" style="8" customWidth="1"/>
    <col min="14858" max="14858" width="4.625" style="8" customWidth="1"/>
    <col min="14859" max="14859" width="6.375" style="8" customWidth="1"/>
    <col min="14860" max="14860" width="7.25" style="8" customWidth="1"/>
    <col min="14861" max="14861" width="0" style="8" hidden="1" customWidth="1"/>
    <col min="14862" max="14862" width="7" style="8" customWidth="1"/>
    <col min="14863" max="14863" width="5.25" style="8" customWidth="1"/>
    <col min="14864" max="14864" width="7.5" style="8" customWidth="1"/>
    <col min="14865" max="14865" width="7.25" style="8" customWidth="1"/>
    <col min="14866" max="14866" width="6.625" style="8" customWidth="1"/>
    <col min="14867" max="14867" width="6.75" style="8" customWidth="1"/>
    <col min="14868" max="14868" width="14.5" style="8" customWidth="1"/>
    <col min="14869" max="14869" width="12.25" style="8" customWidth="1"/>
    <col min="14870" max="14870" width="17.375" style="8" customWidth="1"/>
    <col min="14871" max="14871" width="5.125" style="8" customWidth="1"/>
    <col min="14872" max="14872" width="11.375" style="8" customWidth="1"/>
    <col min="14873" max="14873" width="10.875" style="8" customWidth="1"/>
    <col min="14874" max="14874" width="8.125" style="8" customWidth="1"/>
    <col min="14875" max="15102" width="9" style="8"/>
    <col min="15103" max="15103" width="4" style="8" customWidth="1"/>
    <col min="15104" max="15104" width="12.125" style="8" customWidth="1"/>
    <col min="15105" max="15105" width="7.625" style="8" customWidth="1"/>
    <col min="15106" max="15106" width="15.5" style="8" customWidth="1"/>
    <col min="15107" max="15107" width="8.375" style="8" customWidth="1"/>
    <col min="15108" max="15108" width="4" style="8" customWidth="1"/>
    <col min="15109" max="15109" width="4.875" style="8" customWidth="1"/>
    <col min="15110" max="15110" width="7.125" style="8" customWidth="1"/>
    <col min="15111" max="15111" width="4.5" style="8" customWidth="1"/>
    <col min="15112" max="15112" width="4.875" style="8" customWidth="1"/>
    <col min="15113" max="15113" width="7.5" style="8" customWidth="1"/>
    <col min="15114" max="15114" width="4.625" style="8" customWidth="1"/>
    <col min="15115" max="15115" width="6.375" style="8" customWidth="1"/>
    <col min="15116" max="15116" width="7.25" style="8" customWidth="1"/>
    <col min="15117" max="15117" width="0" style="8" hidden="1" customWidth="1"/>
    <col min="15118" max="15118" width="7" style="8" customWidth="1"/>
    <col min="15119" max="15119" width="5.25" style="8" customWidth="1"/>
    <col min="15120" max="15120" width="7.5" style="8" customWidth="1"/>
    <col min="15121" max="15121" width="7.25" style="8" customWidth="1"/>
    <col min="15122" max="15122" width="6.625" style="8" customWidth="1"/>
    <col min="15123" max="15123" width="6.75" style="8" customWidth="1"/>
    <col min="15124" max="15124" width="14.5" style="8" customWidth="1"/>
    <col min="15125" max="15125" width="12.25" style="8" customWidth="1"/>
    <col min="15126" max="15126" width="17.375" style="8" customWidth="1"/>
    <col min="15127" max="15127" width="5.125" style="8" customWidth="1"/>
    <col min="15128" max="15128" width="11.375" style="8" customWidth="1"/>
    <col min="15129" max="15129" width="10.875" style="8" customWidth="1"/>
    <col min="15130" max="15130" width="8.125" style="8" customWidth="1"/>
    <col min="15131" max="15358" width="9" style="8"/>
    <col min="15359" max="15359" width="4" style="8" customWidth="1"/>
    <col min="15360" max="15360" width="12.125" style="8" customWidth="1"/>
    <col min="15361" max="15361" width="7.625" style="8" customWidth="1"/>
    <col min="15362" max="15362" width="15.5" style="8" customWidth="1"/>
    <col min="15363" max="15363" width="8.375" style="8" customWidth="1"/>
    <col min="15364" max="15364" width="4" style="8" customWidth="1"/>
    <col min="15365" max="15365" width="4.875" style="8" customWidth="1"/>
    <col min="15366" max="15366" width="7.125" style="8" customWidth="1"/>
    <col min="15367" max="15367" width="4.5" style="8" customWidth="1"/>
    <col min="15368" max="15368" width="4.875" style="8" customWidth="1"/>
    <col min="15369" max="15369" width="7.5" style="8" customWidth="1"/>
    <col min="15370" max="15370" width="4.625" style="8" customWidth="1"/>
    <col min="15371" max="15371" width="6.375" style="8" customWidth="1"/>
    <col min="15372" max="15372" width="7.25" style="8" customWidth="1"/>
    <col min="15373" max="15373" width="0" style="8" hidden="1" customWidth="1"/>
    <col min="15374" max="15374" width="7" style="8" customWidth="1"/>
    <col min="15375" max="15375" width="5.25" style="8" customWidth="1"/>
    <col min="15376" max="15376" width="7.5" style="8" customWidth="1"/>
    <col min="15377" max="15377" width="7.25" style="8" customWidth="1"/>
    <col min="15378" max="15378" width="6.625" style="8" customWidth="1"/>
    <col min="15379" max="15379" width="6.75" style="8" customWidth="1"/>
    <col min="15380" max="15380" width="14.5" style="8" customWidth="1"/>
    <col min="15381" max="15381" width="12.25" style="8" customWidth="1"/>
    <col min="15382" max="15382" width="17.375" style="8" customWidth="1"/>
    <col min="15383" max="15383" width="5.125" style="8" customWidth="1"/>
    <col min="15384" max="15384" width="11.375" style="8" customWidth="1"/>
    <col min="15385" max="15385" width="10.875" style="8" customWidth="1"/>
    <col min="15386" max="15386" width="8.125" style="8" customWidth="1"/>
    <col min="15387" max="15614" width="9" style="8"/>
    <col min="15615" max="15615" width="4" style="8" customWidth="1"/>
    <col min="15616" max="15616" width="12.125" style="8" customWidth="1"/>
    <col min="15617" max="15617" width="7.625" style="8" customWidth="1"/>
    <col min="15618" max="15618" width="15.5" style="8" customWidth="1"/>
    <col min="15619" max="15619" width="8.375" style="8" customWidth="1"/>
    <col min="15620" max="15620" width="4" style="8" customWidth="1"/>
    <col min="15621" max="15621" width="4.875" style="8" customWidth="1"/>
    <col min="15622" max="15622" width="7.125" style="8" customWidth="1"/>
    <col min="15623" max="15623" width="4.5" style="8" customWidth="1"/>
    <col min="15624" max="15624" width="4.875" style="8" customWidth="1"/>
    <col min="15625" max="15625" width="7.5" style="8" customWidth="1"/>
    <col min="15626" max="15626" width="4.625" style="8" customWidth="1"/>
    <col min="15627" max="15627" width="6.375" style="8" customWidth="1"/>
    <col min="15628" max="15628" width="7.25" style="8" customWidth="1"/>
    <col min="15629" max="15629" width="0" style="8" hidden="1" customWidth="1"/>
    <col min="15630" max="15630" width="7" style="8" customWidth="1"/>
    <col min="15631" max="15631" width="5.25" style="8" customWidth="1"/>
    <col min="15632" max="15632" width="7.5" style="8" customWidth="1"/>
    <col min="15633" max="15633" width="7.25" style="8" customWidth="1"/>
    <col min="15634" max="15634" width="6.625" style="8" customWidth="1"/>
    <col min="15635" max="15635" width="6.75" style="8" customWidth="1"/>
    <col min="15636" max="15636" width="14.5" style="8" customWidth="1"/>
    <col min="15637" max="15637" width="12.25" style="8" customWidth="1"/>
    <col min="15638" max="15638" width="17.375" style="8" customWidth="1"/>
    <col min="15639" max="15639" width="5.125" style="8" customWidth="1"/>
    <col min="15640" max="15640" width="11.375" style="8" customWidth="1"/>
    <col min="15641" max="15641" width="10.875" style="8" customWidth="1"/>
    <col min="15642" max="15642" width="8.125" style="8" customWidth="1"/>
    <col min="15643" max="15870" width="9" style="8"/>
    <col min="15871" max="15871" width="4" style="8" customWidth="1"/>
    <col min="15872" max="15872" width="12.125" style="8" customWidth="1"/>
    <col min="15873" max="15873" width="7.625" style="8" customWidth="1"/>
    <col min="15874" max="15874" width="15.5" style="8" customWidth="1"/>
    <col min="15875" max="15875" width="8.375" style="8" customWidth="1"/>
    <col min="15876" max="15876" width="4" style="8" customWidth="1"/>
    <col min="15877" max="15877" width="4.875" style="8" customWidth="1"/>
    <col min="15878" max="15878" width="7.125" style="8" customWidth="1"/>
    <col min="15879" max="15879" width="4.5" style="8" customWidth="1"/>
    <col min="15880" max="15880" width="4.875" style="8" customWidth="1"/>
    <col min="15881" max="15881" width="7.5" style="8" customWidth="1"/>
    <col min="15882" max="15882" width="4.625" style="8" customWidth="1"/>
    <col min="15883" max="15883" width="6.375" style="8" customWidth="1"/>
    <col min="15884" max="15884" width="7.25" style="8" customWidth="1"/>
    <col min="15885" max="15885" width="0" style="8" hidden="1" customWidth="1"/>
    <col min="15886" max="15886" width="7" style="8" customWidth="1"/>
    <col min="15887" max="15887" width="5.25" style="8" customWidth="1"/>
    <col min="15888" max="15888" width="7.5" style="8" customWidth="1"/>
    <col min="15889" max="15889" width="7.25" style="8" customWidth="1"/>
    <col min="15890" max="15890" width="6.625" style="8" customWidth="1"/>
    <col min="15891" max="15891" width="6.75" style="8" customWidth="1"/>
    <col min="15892" max="15892" width="14.5" style="8" customWidth="1"/>
    <col min="15893" max="15893" width="12.25" style="8" customWidth="1"/>
    <col min="15894" max="15894" width="17.375" style="8" customWidth="1"/>
    <col min="15895" max="15895" width="5.125" style="8" customWidth="1"/>
    <col min="15896" max="15896" width="11.375" style="8" customWidth="1"/>
    <col min="15897" max="15897" width="10.875" style="8" customWidth="1"/>
    <col min="15898" max="15898" width="8.125" style="8" customWidth="1"/>
    <col min="15899" max="16126" width="9" style="8"/>
    <col min="16127" max="16127" width="4" style="8" customWidth="1"/>
    <col min="16128" max="16128" width="12.125" style="8" customWidth="1"/>
    <col min="16129" max="16129" width="7.625" style="8" customWidth="1"/>
    <col min="16130" max="16130" width="15.5" style="8" customWidth="1"/>
    <col min="16131" max="16131" width="8.375" style="8" customWidth="1"/>
    <col min="16132" max="16132" width="4" style="8" customWidth="1"/>
    <col min="16133" max="16133" width="4.875" style="8" customWidth="1"/>
    <col min="16134" max="16134" width="7.125" style="8" customWidth="1"/>
    <col min="16135" max="16135" width="4.5" style="8" customWidth="1"/>
    <col min="16136" max="16136" width="4.875" style="8" customWidth="1"/>
    <col min="16137" max="16137" width="7.5" style="8" customWidth="1"/>
    <col min="16138" max="16138" width="4.625" style="8" customWidth="1"/>
    <col min="16139" max="16139" width="6.375" style="8" customWidth="1"/>
    <col min="16140" max="16140" width="7.25" style="8" customWidth="1"/>
    <col min="16141" max="16141" width="0" style="8" hidden="1" customWidth="1"/>
    <col min="16142" max="16142" width="7" style="8" customWidth="1"/>
    <col min="16143" max="16143" width="5.25" style="8" customWidth="1"/>
    <col min="16144" max="16144" width="7.5" style="8" customWidth="1"/>
    <col min="16145" max="16145" width="7.25" style="8" customWidth="1"/>
    <col min="16146" max="16146" width="6.625" style="8" customWidth="1"/>
    <col min="16147" max="16147" width="6.75" style="8" customWidth="1"/>
    <col min="16148" max="16148" width="14.5" style="8" customWidth="1"/>
    <col min="16149" max="16149" width="12.25" style="8" customWidth="1"/>
    <col min="16150" max="16150" width="17.375" style="8" customWidth="1"/>
    <col min="16151" max="16151" width="5.125" style="8" customWidth="1"/>
    <col min="16152" max="16152" width="11.375" style="8" customWidth="1"/>
    <col min="16153" max="16153" width="10.875" style="8" customWidth="1"/>
    <col min="16154" max="16154" width="8.125" style="8" customWidth="1"/>
    <col min="16155" max="16384" width="9" style="8"/>
  </cols>
  <sheetData>
    <row r="1" spans="1:26" s="111" customFormat="1" ht="18.75" customHeight="1" x14ac:dyDescent="0.3">
      <c r="A1" s="545" t="s">
        <v>425</v>
      </c>
      <c r="B1" s="545"/>
      <c r="C1" s="545"/>
      <c r="D1" s="545"/>
      <c r="E1" s="545"/>
      <c r="F1" s="545"/>
      <c r="G1" s="545"/>
      <c r="H1" s="545"/>
      <c r="I1" s="545"/>
      <c r="J1" s="545"/>
      <c r="K1" s="545"/>
      <c r="L1" s="545"/>
      <c r="M1" s="545"/>
      <c r="N1" s="545"/>
      <c r="O1" s="545"/>
      <c r="P1" s="545"/>
      <c r="Q1" s="545"/>
      <c r="R1" s="545"/>
      <c r="S1" s="545"/>
      <c r="T1" s="545"/>
      <c r="U1" s="545"/>
      <c r="V1" s="545"/>
      <c r="W1" s="545"/>
      <c r="Z1" s="112"/>
    </row>
    <row r="2" spans="1:26" s="111" customFormat="1" ht="18.75" customHeight="1" x14ac:dyDescent="0.3">
      <c r="A2" s="545" t="s">
        <v>426</v>
      </c>
      <c r="B2" s="545"/>
      <c r="C2" s="545"/>
      <c r="D2" s="545"/>
      <c r="E2" s="545"/>
      <c r="F2" s="545"/>
      <c r="G2" s="545"/>
      <c r="H2" s="545"/>
      <c r="I2" s="545"/>
      <c r="J2" s="545"/>
      <c r="K2" s="545"/>
      <c r="L2" s="545"/>
      <c r="M2" s="545"/>
      <c r="N2" s="545"/>
      <c r="O2" s="545"/>
      <c r="P2" s="545"/>
      <c r="Q2" s="545"/>
      <c r="R2" s="545"/>
      <c r="S2" s="545"/>
      <c r="T2" s="545"/>
      <c r="U2" s="545"/>
      <c r="V2" s="545"/>
      <c r="W2" s="545"/>
      <c r="Z2" s="112"/>
    </row>
    <row r="3" spans="1:26" s="111" customFormat="1" ht="18.75" customHeight="1" x14ac:dyDescent="0.3">
      <c r="A3" s="545" t="s">
        <v>89</v>
      </c>
      <c r="B3" s="545"/>
      <c r="C3" s="545"/>
      <c r="D3" s="545"/>
      <c r="E3" s="545"/>
      <c r="F3" s="545"/>
      <c r="G3" s="545"/>
      <c r="H3" s="545"/>
      <c r="I3" s="545"/>
      <c r="J3" s="545"/>
      <c r="K3" s="545"/>
      <c r="L3" s="545"/>
      <c r="M3" s="545"/>
      <c r="N3" s="545"/>
      <c r="O3" s="545"/>
      <c r="P3" s="545"/>
      <c r="Q3" s="545"/>
      <c r="R3" s="545"/>
      <c r="S3" s="545"/>
      <c r="T3" s="545"/>
      <c r="U3" s="545"/>
      <c r="V3" s="545"/>
      <c r="W3" s="545"/>
      <c r="Z3" s="112"/>
    </row>
    <row r="4" spans="1:26" ht="18.75" x14ac:dyDescent="0.25">
      <c r="A4" s="546"/>
      <c r="B4" s="546"/>
      <c r="C4" s="546"/>
      <c r="D4" s="546"/>
      <c r="E4" s="546"/>
      <c r="F4" s="546"/>
      <c r="G4" s="546"/>
      <c r="H4" s="546"/>
      <c r="I4" s="546"/>
      <c r="J4" s="546"/>
      <c r="K4" s="546"/>
      <c r="L4" s="546"/>
      <c r="M4" s="546"/>
      <c r="N4" s="546"/>
      <c r="O4" s="546"/>
      <c r="P4" s="546"/>
      <c r="Q4" s="546"/>
      <c r="R4" s="546"/>
      <c r="S4" s="546"/>
      <c r="T4" s="546"/>
      <c r="U4" s="546"/>
      <c r="V4" s="546"/>
      <c r="W4" s="546"/>
    </row>
    <row r="6" spans="1:26" ht="35.25" customHeight="1" x14ac:dyDescent="0.25">
      <c r="A6" s="547" t="s">
        <v>0</v>
      </c>
      <c r="B6" s="549" t="s">
        <v>1</v>
      </c>
      <c r="C6" s="549"/>
      <c r="D6" s="549" t="s">
        <v>90</v>
      </c>
      <c r="E6" s="551" t="s">
        <v>275</v>
      </c>
      <c r="F6" s="552"/>
      <c r="G6" s="552"/>
      <c r="H6" s="553"/>
      <c r="I6" s="554" t="s">
        <v>59</v>
      </c>
      <c r="J6" s="555"/>
      <c r="K6" s="555"/>
      <c r="L6" s="555"/>
      <c r="M6" s="556" t="s">
        <v>34</v>
      </c>
      <c r="N6" s="563" t="s">
        <v>91</v>
      </c>
      <c r="O6" s="187"/>
      <c r="P6" s="563" t="s">
        <v>92</v>
      </c>
      <c r="Q6" s="565" t="s">
        <v>12</v>
      </c>
      <c r="R6" s="566"/>
      <c r="S6" s="566"/>
      <c r="T6" s="567"/>
      <c r="U6" s="568" t="s">
        <v>55</v>
      </c>
      <c r="V6" s="570" t="s">
        <v>4</v>
      </c>
      <c r="W6" s="558" t="s">
        <v>60</v>
      </c>
      <c r="X6" s="7"/>
    </row>
    <row r="7" spans="1:26" ht="106.5" customHeight="1" x14ac:dyDescent="0.25">
      <c r="A7" s="548"/>
      <c r="B7" s="550"/>
      <c r="C7" s="550"/>
      <c r="D7" s="550"/>
      <c r="E7" s="188" t="s">
        <v>2</v>
      </c>
      <c r="F7" s="171" t="s">
        <v>58</v>
      </c>
      <c r="G7" s="171" t="s">
        <v>16</v>
      </c>
      <c r="H7" s="37" t="s">
        <v>13</v>
      </c>
      <c r="I7" s="171" t="s">
        <v>58</v>
      </c>
      <c r="J7" s="171" t="s">
        <v>35</v>
      </c>
      <c r="K7" s="37" t="s">
        <v>13</v>
      </c>
      <c r="L7" s="171" t="s">
        <v>6</v>
      </c>
      <c r="M7" s="557"/>
      <c r="N7" s="564"/>
      <c r="O7" s="5" t="s">
        <v>57</v>
      </c>
      <c r="P7" s="564"/>
      <c r="Q7" s="172" t="s">
        <v>276</v>
      </c>
      <c r="R7" s="189" t="s">
        <v>14</v>
      </c>
      <c r="S7" s="189" t="s">
        <v>56</v>
      </c>
      <c r="T7" s="189" t="s">
        <v>36</v>
      </c>
      <c r="U7" s="569"/>
      <c r="V7" s="571"/>
      <c r="W7" s="559"/>
      <c r="X7" s="9"/>
    </row>
    <row r="8" spans="1:26" s="191" customFormat="1" ht="13.5" x14ac:dyDescent="0.2">
      <c r="A8" s="10">
        <v>1</v>
      </c>
      <c r="B8" s="11">
        <v>2</v>
      </c>
      <c r="C8" s="12"/>
      <c r="D8" s="13">
        <v>3</v>
      </c>
      <c r="E8" s="13">
        <v>4</v>
      </c>
      <c r="F8" s="13">
        <v>5</v>
      </c>
      <c r="G8" s="13">
        <v>6</v>
      </c>
      <c r="H8" s="13">
        <v>7</v>
      </c>
      <c r="I8" s="13">
        <v>8</v>
      </c>
      <c r="J8" s="13">
        <v>9</v>
      </c>
      <c r="K8" s="13">
        <v>10</v>
      </c>
      <c r="L8" s="13">
        <v>11</v>
      </c>
      <c r="M8" s="114">
        <v>12</v>
      </c>
      <c r="N8" s="13">
        <v>13</v>
      </c>
      <c r="O8" s="13">
        <v>15</v>
      </c>
      <c r="P8" s="25">
        <v>14</v>
      </c>
      <c r="Q8" s="13">
        <v>15</v>
      </c>
      <c r="R8" s="13">
        <v>16</v>
      </c>
      <c r="S8" s="13">
        <v>17</v>
      </c>
      <c r="T8" s="13">
        <v>18</v>
      </c>
      <c r="U8" s="190">
        <v>19</v>
      </c>
      <c r="V8" s="31" t="s">
        <v>78</v>
      </c>
      <c r="W8" s="10">
        <v>23</v>
      </c>
      <c r="X8" s="38"/>
      <c r="Z8" s="192"/>
    </row>
    <row r="9" spans="1:26" ht="24.95" customHeight="1" x14ac:dyDescent="0.25">
      <c r="A9" s="22">
        <v>1</v>
      </c>
      <c r="B9" s="23" t="s">
        <v>93</v>
      </c>
      <c r="C9" s="24" t="s">
        <v>94</v>
      </c>
      <c r="D9" s="115"/>
      <c r="E9" s="59" t="s">
        <v>39</v>
      </c>
      <c r="F9" s="560">
        <v>5</v>
      </c>
      <c r="G9" s="560">
        <v>98</v>
      </c>
      <c r="H9" s="561">
        <v>840</v>
      </c>
      <c r="I9" s="32">
        <v>28</v>
      </c>
      <c r="J9" s="32">
        <v>684</v>
      </c>
      <c r="K9" s="33">
        <v>477.6</v>
      </c>
      <c r="L9" s="60" t="s">
        <v>7</v>
      </c>
      <c r="M9" s="116"/>
      <c r="N9" s="33">
        <f>K9</f>
        <v>477.6</v>
      </c>
      <c r="O9" s="33"/>
      <c r="P9" s="35">
        <f>N9</f>
        <v>477.6</v>
      </c>
      <c r="Q9" s="61" t="s">
        <v>7</v>
      </c>
      <c r="R9" s="33">
        <f>840-406.1</f>
        <v>433.9</v>
      </c>
      <c r="S9" s="33">
        <f>P9-R9</f>
        <v>43.700000000000045</v>
      </c>
      <c r="T9" s="33"/>
      <c r="U9" s="140">
        <f>K9-N9</f>
        <v>0</v>
      </c>
      <c r="V9" s="15"/>
      <c r="W9" s="562">
        <f>(477.6+406.1)-840</f>
        <v>43.700000000000045</v>
      </c>
      <c r="X9" s="14"/>
      <c r="Z9" s="193"/>
    </row>
    <row r="10" spans="1:26" ht="60" x14ac:dyDescent="0.25">
      <c r="A10" s="22"/>
      <c r="B10" s="23" t="s">
        <v>93</v>
      </c>
      <c r="C10" s="24" t="s">
        <v>94</v>
      </c>
      <c r="D10" s="118"/>
      <c r="E10" s="59" t="s">
        <v>39</v>
      </c>
      <c r="F10" s="560"/>
      <c r="G10" s="560"/>
      <c r="H10" s="561"/>
      <c r="I10" s="32">
        <v>28</v>
      </c>
      <c r="J10" s="32">
        <v>718</v>
      </c>
      <c r="K10" s="33">
        <v>406.1</v>
      </c>
      <c r="L10" s="60" t="s">
        <v>7</v>
      </c>
      <c r="M10" s="116">
        <v>57.3</v>
      </c>
      <c r="N10" s="33">
        <f>406.1-57.3</f>
        <v>348.8</v>
      </c>
      <c r="O10" s="33"/>
      <c r="P10" s="35">
        <f>N10+O10</f>
        <v>348.8</v>
      </c>
      <c r="Q10" s="61" t="s">
        <v>7</v>
      </c>
      <c r="R10" s="33">
        <v>348.8</v>
      </c>
      <c r="S10" s="33">
        <f>P10-R10</f>
        <v>0</v>
      </c>
      <c r="T10" s="33"/>
      <c r="U10" s="140"/>
      <c r="V10" s="198" t="s">
        <v>279</v>
      </c>
      <c r="W10" s="562"/>
      <c r="X10" s="16"/>
    </row>
    <row r="11" spans="1:26" ht="24.95" customHeight="1" x14ac:dyDescent="0.25">
      <c r="A11" s="22">
        <v>2</v>
      </c>
      <c r="B11" s="23" t="s">
        <v>10</v>
      </c>
      <c r="C11" s="24" t="s">
        <v>95</v>
      </c>
      <c r="D11" s="58" t="s">
        <v>96</v>
      </c>
      <c r="E11" s="59" t="s">
        <v>33</v>
      </c>
      <c r="F11" s="32">
        <v>5</v>
      </c>
      <c r="G11" s="32">
        <v>38</v>
      </c>
      <c r="H11" s="36">
        <v>720</v>
      </c>
      <c r="I11" s="32">
        <v>29</v>
      </c>
      <c r="J11" s="32">
        <v>18</v>
      </c>
      <c r="K11" s="33">
        <v>816</v>
      </c>
      <c r="L11" s="60" t="s">
        <v>7</v>
      </c>
      <c r="M11" s="120"/>
      <c r="N11" s="33">
        <f t="shared" ref="N11:N16" si="0">K11</f>
        <v>816</v>
      </c>
      <c r="O11" s="33"/>
      <c r="P11" s="35">
        <f t="shared" ref="P11:P86" si="1">N11</f>
        <v>816</v>
      </c>
      <c r="Q11" s="61" t="str">
        <f>L11</f>
        <v>LUC</v>
      </c>
      <c r="R11" s="33">
        <v>720</v>
      </c>
      <c r="S11" s="33">
        <f>P11-R11</f>
        <v>96</v>
      </c>
      <c r="T11" s="33"/>
      <c r="U11" s="140">
        <f t="shared" ref="U11:U16" si="2">K11-P11</f>
        <v>0</v>
      </c>
      <c r="V11" s="15"/>
      <c r="W11" s="117">
        <f>P11-H11</f>
        <v>96</v>
      </c>
      <c r="X11" s="16"/>
      <c r="Z11" s="193"/>
    </row>
    <row r="12" spans="1:26" ht="24.95" customHeight="1" x14ac:dyDescent="0.25">
      <c r="A12" s="22"/>
      <c r="B12" s="23" t="s">
        <v>10</v>
      </c>
      <c r="C12" s="24" t="s">
        <v>95</v>
      </c>
      <c r="D12" s="58" t="s">
        <v>96</v>
      </c>
      <c r="E12" s="59" t="s">
        <v>33</v>
      </c>
      <c r="F12" s="32">
        <v>5</v>
      </c>
      <c r="G12" s="32">
        <v>77</v>
      </c>
      <c r="H12" s="36">
        <v>120</v>
      </c>
      <c r="I12" s="32">
        <v>28</v>
      </c>
      <c r="J12" s="32">
        <v>461</v>
      </c>
      <c r="K12" s="33">
        <v>146.80000000000001</v>
      </c>
      <c r="L12" s="60" t="s">
        <v>7</v>
      </c>
      <c r="M12" s="120"/>
      <c r="N12" s="33">
        <f t="shared" si="0"/>
        <v>146.80000000000001</v>
      </c>
      <c r="O12" s="33"/>
      <c r="P12" s="35">
        <f t="shared" si="1"/>
        <v>146.80000000000001</v>
      </c>
      <c r="Q12" s="61" t="str">
        <f>L12</f>
        <v>LUC</v>
      </c>
      <c r="R12" s="33">
        <v>120</v>
      </c>
      <c r="S12" s="33">
        <f t="shared" ref="S12:S29" si="3">P12-R12</f>
        <v>26.800000000000011</v>
      </c>
      <c r="T12" s="33"/>
      <c r="U12" s="140">
        <f t="shared" si="2"/>
        <v>0</v>
      </c>
      <c r="V12" s="15"/>
      <c r="W12" s="117">
        <f>P12-H12</f>
        <v>26.800000000000011</v>
      </c>
      <c r="X12" s="16"/>
      <c r="Z12" s="193"/>
    </row>
    <row r="13" spans="1:26" ht="24.95" customHeight="1" x14ac:dyDescent="0.25">
      <c r="A13" s="22"/>
      <c r="B13" s="23" t="s">
        <v>10</v>
      </c>
      <c r="C13" s="24" t="s">
        <v>95</v>
      </c>
      <c r="D13" s="58" t="s">
        <v>96</v>
      </c>
      <c r="E13" s="59" t="s">
        <v>33</v>
      </c>
      <c r="F13" s="32">
        <v>5</v>
      </c>
      <c r="G13" s="32">
        <v>64</v>
      </c>
      <c r="H13" s="36">
        <v>288</v>
      </c>
      <c r="I13" s="32">
        <v>28</v>
      </c>
      <c r="J13" s="32">
        <v>783</v>
      </c>
      <c r="K13" s="33">
        <v>377.9</v>
      </c>
      <c r="L13" s="60" t="s">
        <v>7</v>
      </c>
      <c r="M13" s="120"/>
      <c r="N13" s="33">
        <f t="shared" si="0"/>
        <v>377.9</v>
      </c>
      <c r="O13" s="33"/>
      <c r="P13" s="35">
        <f t="shared" si="1"/>
        <v>377.9</v>
      </c>
      <c r="Q13" s="61" t="str">
        <f>L13</f>
        <v>LUC</v>
      </c>
      <c r="R13" s="33">
        <v>288</v>
      </c>
      <c r="S13" s="33">
        <f t="shared" si="3"/>
        <v>89.899999999999977</v>
      </c>
      <c r="T13" s="33"/>
      <c r="U13" s="140">
        <f t="shared" si="2"/>
        <v>0</v>
      </c>
      <c r="V13" s="15"/>
      <c r="W13" s="117">
        <f>P13-H13</f>
        <v>89.899999999999977</v>
      </c>
      <c r="X13" s="16"/>
      <c r="Z13" s="193"/>
    </row>
    <row r="14" spans="1:26" ht="30" customHeight="1" x14ac:dyDescent="0.25">
      <c r="A14" s="22"/>
      <c r="B14" s="23" t="s">
        <v>10</v>
      </c>
      <c r="C14" s="24" t="s">
        <v>95</v>
      </c>
      <c r="D14" s="58" t="s">
        <v>96</v>
      </c>
      <c r="E14" s="59" t="s">
        <v>33</v>
      </c>
      <c r="F14" s="32">
        <v>5</v>
      </c>
      <c r="G14" s="32">
        <v>64</v>
      </c>
      <c r="H14" s="36">
        <v>144</v>
      </c>
      <c r="I14" s="32">
        <v>28</v>
      </c>
      <c r="J14" s="32">
        <v>782</v>
      </c>
      <c r="K14" s="33">
        <v>441.7</v>
      </c>
      <c r="L14" s="60" t="s">
        <v>7</v>
      </c>
      <c r="M14" s="120"/>
      <c r="N14" s="33">
        <f>K14-240</f>
        <v>201.7</v>
      </c>
      <c r="O14" s="33"/>
      <c r="P14" s="35">
        <f t="shared" si="1"/>
        <v>201.7</v>
      </c>
      <c r="Q14" s="61" t="str">
        <f>L14</f>
        <v>LUC</v>
      </c>
      <c r="R14" s="33">
        <v>144</v>
      </c>
      <c r="S14" s="33">
        <f t="shared" si="3"/>
        <v>57.699999999999989</v>
      </c>
      <c r="T14" s="33"/>
      <c r="U14" s="140">
        <v>0</v>
      </c>
      <c r="V14" s="15" t="s">
        <v>280</v>
      </c>
      <c r="W14" s="117">
        <f>P14-H14</f>
        <v>57.699999999999989</v>
      </c>
      <c r="X14" s="16"/>
      <c r="Z14" s="193"/>
    </row>
    <row r="15" spans="1:26" ht="25.5" x14ac:dyDescent="0.25">
      <c r="A15" s="22"/>
      <c r="B15" s="23" t="s">
        <v>10</v>
      </c>
      <c r="C15" s="24" t="s">
        <v>95</v>
      </c>
      <c r="D15" s="58" t="s">
        <v>96</v>
      </c>
      <c r="E15" s="28" t="s">
        <v>46</v>
      </c>
      <c r="F15" s="560" t="s">
        <v>40</v>
      </c>
      <c r="G15" s="560"/>
      <c r="H15" s="574">
        <v>240</v>
      </c>
      <c r="I15" s="32">
        <v>28</v>
      </c>
      <c r="J15" s="51">
        <v>779</v>
      </c>
      <c r="K15" s="33">
        <v>69.5</v>
      </c>
      <c r="L15" s="60" t="s">
        <v>43</v>
      </c>
      <c r="M15" s="120"/>
      <c r="N15" s="33">
        <f t="shared" si="0"/>
        <v>69.5</v>
      </c>
      <c r="O15" s="33"/>
      <c r="P15" s="35">
        <f t="shared" si="1"/>
        <v>69.5</v>
      </c>
      <c r="Q15" s="61" t="s">
        <v>86</v>
      </c>
      <c r="R15" s="33"/>
      <c r="S15" s="33">
        <f t="shared" si="3"/>
        <v>69.5</v>
      </c>
      <c r="T15" s="33"/>
      <c r="U15" s="140">
        <f t="shared" si="2"/>
        <v>0</v>
      </c>
      <c r="V15" s="15" t="s">
        <v>97</v>
      </c>
      <c r="W15" s="562">
        <f>P15+P16+P17-H15</f>
        <v>26</v>
      </c>
      <c r="X15" s="16"/>
      <c r="Z15" s="572"/>
    </row>
    <row r="16" spans="1:26" ht="25.5" x14ac:dyDescent="0.25">
      <c r="A16" s="22"/>
      <c r="B16" s="23" t="s">
        <v>10</v>
      </c>
      <c r="C16" s="24" t="s">
        <v>95</v>
      </c>
      <c r="D16" s="58" t="s">
        <v>96</v>
      </c>
      <c r="E16" s="28" t="s">
        <v>46</v>
      </c>
      <c r="F16" s="560"/>
      <c r="G16" s="560"/>
      <c r="H16" s="574"/>
      <c r="I16" s="32">
        <v>28</v>
      </c>
      <c r="J16" s="51">
        <v>780</v>
      </c>
      <c r="K16" s="33">
        <v>90.3</v>
      </c>
      <c r="L16" s="60" t="s">
        <v>43</v>
      </c>
      <c r="M16" s="120"/>
      <c r="N16" s="33">
        <f t="shared" si="0"/>
        <v>90.3</v>
      </c>
      <c r="O16" s="33"/>
      <c r="P16" s="35">
        <f t="shared" si="1"/>
        <v>90.3</v>
      </c>
      <c r="Q16" s="61" t="s">
        <v>86</v>
      </c>
      <c r="R16" s="33"/>
      <c r="S16" s="33">
        <f t="shared" si="3"/>
        <v>90.3</v>
      </c>
      <c r="T16" s="33"/>
      <c r="U16" s="140">
        <f t="shared" si="2"/>
        <v>0</v>
      </c>
      <c r="V16" s="138"/>
      <c r="W16" s="562"/>
      <c r="X16" s="16"/>
      <c r="Z16" s="573"/>
    </row>
    <row r="17" spans="1:26" ht="25.5" x14ac:dyDescent="0.25">
      <c r="A17" s="22"/>
      <c r="B17" s="23" t="s">
        <v>10</v>
      </c>
      <c r="C17" s="24" t="s">
        <v>95</v>
      </c>
      <c r="D17" s="58" t="s">
        <v>96</v>
      </c>
      <c r="E17" s="28" t="s">
        <v>46</v>
      </c>
      <c r="F17" s="560"/>
      <c r="G17" s="560"/>
      <c r="H17" s="574"/>
      <c r="I17" s="32">
        <v>28</v>
      </c>
      <c r="J17" s="51">
        <v>731</v>
      </c>
      <c r="K17" s="33">
        <v>171.8</v>
      </c>
      <c r="L17" s="60" t="s">
        <v>43</v>
      </c>
      <c r="M17" s="120"/>
      <c r="N17" s="33">
        <v>106.2</v>
      </c>
      <c r="O17" s="33"/>
      <c r="P17" s="35">
        <f t="shared" si="1"/>
        <v>106.2</v>
      </c>
      <c r="Q17" s="61" t="s">
        <v>86</v>
      </c>
      <c r="R17" s="33"/>
      <c r="S17" s="33">
        <f t="shared" si="3"/>
        <v>106.2</v>
      </c>
      <c r="T17" s="33"/>
      <c r="U17" s="140">
        <v>0</v>
      </c>
      <c r="V17" s="15" t="s">
        <v>98</v>
      </c>
      <c r="W17" s="562"/>
      <c r="X17" s="16"/>
      <c r="Z17" s="573"/>
    </row>
    <row r="18" spans="1:26" ht="25.5" customHeight="1" x14ac:dyDescent="0.25">
      <c r="A18" s="22">
        <v>3</v>
      </c>
      <c r="B18" s="23" t="s">
        <v>37</v>
      </c>
      <c r="C18" s="24" t="s">
        <v>99</v>
      </c>
      <c r="D18" s="115" t="s">
        <v>100</v>
      </c>
      <c r="E18" s="59" t="s">
        <v>33</v>
      </c>
      <c r="F18" s="32">
        <v>5</v>
      </c>
      <c r="G18" s="32">
        <v>34</v>
      </c>
      <c r="H18" s="36">
        <v>480</v>
      </c>
      <c r="I18" s="32">
        <v>29</v>
      </c>
      <c r="J18" s="32">
        <v>23</v>
      </c>
      <c r="K18" s="33">
        <v>435.6</v>
      </c>
      <c r="L18" s="60" t="s">
        <v>7</v>
      </c>
      <c r="M18" s="116"/>
      <c r="N18" s="33">
        <f>K18</f>
        <v>435.6</v>
      </c>
      <c r="O18" s="33"/>
      <c r="P18" s="35">
        <f t="shared" si="1"/>
        <v>435.6</v>
      </c>
      <c r="Q18" s="61" t="str">
        <f t="shared" ref="Q18:Q29" si="4">L18</f>
        <v>LUC</v>
      </c>
      <c r="R18" s="33">
        <v>435.6</v>
      </c>
      <c r="S18" s="33">
        <f t="shared" si="3"/>
        <v>0</v>
      </c>
      <c r="T18" s="33"/>
      <c r="U18" s="140">
        <f t="shared" ref="U18:U35" si="5">K18-N18</f>
        <v>0</v>
      </c>
      <c r="V18" s="15"/>
      <c r="W18" s="30">
        <f t="shared" ref="W18:W28" si="6">K18-H18</f>
        <v>-44.399999999999977</v>
      </c>
      <c r="X18" s="14"/>
      <c r="Z18" s="193"/>
    </row>
    <row r="19" spans="1:26" ht="25.5" customHeight="1" x14ac:dyDescent="0.25">
      <c r="A19" s="22"/>
      <c r="B19" s="23" t="s">
        <v>37</v>
      </c>
      <c r="C19" s="24" t="s">
        <v>99</v>
      </c>
      <c r="D19" s="115" t="s">
        <v>100</v>
      </c>
      <c r="E19" s="59" t="s">
        <v>33</v>
      </c>
      <c r="F19" s="32">
        <v>5</v>
      </c>
      <c r="G19" s="32">
        <v>30</v>
      </c>
      <c r="H19" s="36">
        <v>192</v>
      </c>
      <c r="I19" s="32">
        <v>29</v>
      </c>
      <c r="J19" s="32">
        <v>39</v>
      </c>
      <c r="K19" s="33">
        <v>293.89999999999998</v>
      </c>
      <c r="L19" s="60" t="s">
        <v>7</v>
      </c>
      <c r="M19" s="116"/>
      <c r="N19" s="33">
        <f>K19</f>
        <v>293.89999999999998</v>
      </c>
      <c r="O19" s="33"/>
      <c r="P19" s="35">
        <f t="shared" si="1"/>
        <v>293.89999999999998</v>
      </c>
      <c r="Q19" s="61" t="str">
        <f t="shared" si="4"/>
        <v>LUC</v>
      </c>
      <c r="R19" s="33">
        <v>192</v>
      </c>
      <c r="S19" s="33">
        <f t="shared" si="3"/>
        <v>101.89999999999998</v>
      </c>
      <c r="T19" s="33"/>
      <c r="U19" s="140">
        <f t="shared" si="5"/>
        <v>0</v>
      </c>
      <c r="V19" s="15"/>
      <c r="W19" s="30">
        <f t="shared" si="6"/>
        <v>101.89999999999998</v>
      </c>
      <c r="X19" s="14"/>
      <c r="Z19" s="193"/>
    </row>
    <row r="20" spans="1:26" ht="25.5" customHeight="1" x14ac:dyDescent="0.25">
      <c r="A20" s="22"/>
      <c r="B20" s="23" t="s">
        <v>32</v>
      </c>
      <c r="C20" s="24" t="s">
        <v>99</v>
      </c>
      <c r="D20" s="115" t="s">
        <v>100</v>
      </c>
      <c r="E20" s="59" t="s">
        <v>39</v>
      </c>
      <c r="F20" s="32">
        <v>5</v>
      </c>
      <c r="G20" s="32">
        <v>98</v>
      </c>
      <c r="H20" s="36">
        <v>288</v>
      </c>
      <c r="I20" s="32">
        <v>28</v>
      </c>
      <c r="J20" s="32">
        <v>723</v>
      </c>
      <c r="K20" s="33">
        <v>498.1</v>
      </c>
      <c r="L20" s="60" t="s">
        <v>7</v>
      </c>
      <c r="M20" s="116"/>
      <c r="N20" s="33">
        <f>K20</f>
        <v>498.1</v>
      </c>
      <c r="O20" s="33"/>
      <c r="P20" s="35">
        <f t="shared" si="1"/>
        <v>498.1</v>
      </c>
      <c r="Q20" s="61" t="str">
        <f>L20</f>
        <v>LUC</v>
      </c>
      <c r="R20" s="33">
        <v>288</v>
      </c>
      <c r="S20" s="33">
        <f t="shared" si="3"/>
        <v>210.10000000000002</v>
      </c>
      <c r="T20" s="33"/>
      <c r="U20" s="140">
        <f t="shared" si="5"/>
        <v>0</v>
      </c>
      <c r="V20" s="15"/>
      <c r="W20" s="30">
        <f t="shared" si="6"/>
        <v>210.10000000000002</v>
      </c>
      <c r="X20" s="14"/>
      <c r="Z20" s="193"/>
    </row>
    <row r="21" spans="1:26" ht="25.5" customHeight="1" x14ac:dyDescent="0.25">
      <c r="A21" s="22"/>
      <c r="B21" s="23" t="s">
        <v>32</v>
      </c>
      <c r="C21" s="24" t="s">
        <v>99</v>
      </c>
      <c r="D21" s="115" t="s">
        <v>100</v>
      </c>
      <c r="E21" s="121" t="s">
        <v>46</v>
      </c>
      <c r="F21" s="32" t="s">
        <v>40</v>
      </c>
      <c r="G21" s="32"/>
      <c r="H21" s="36">
        <v>48</v>
      </c>
      <c r="I21" s="32">
        <v>28</v>
      </c>
      <c r="J21" s="199">
        <v>781</v>
      </c>
      <c r="K21" s="33">
        <v>64.599999999999994</v>
      </c>
      <c r="L21" s="60" t="s">
        <v>43</v>
      </c>
      <c r="M21" s="116"/>
      <c r="N21" s="33">
        <v>64.599999999999994</v>
      </c>
      <c r="O21" s="33"/>
      <c r="P21" s="35">
        <f t="shared" si="1"/>
        <v>64.599999999999994</v>
      </c>
      <c r="Q21" s="61" t="s">
        <v>86</v>
      </c>
      <c r="R21" s="33"/>
      <c r="S21" s="33">
        <f t="shared" si="3"/>
        <v>64.599999999999994</v>
      </c>
      <c r="T21" s="33"/>
      <c r="U21" s="140">
        <f t="shared" si="5"/>
        <v>0</v>
      </c>
      <c r="V21" s="15" t="s">
        <v>281</v>
      </c>
      <c r="W21" s="30">
        <f t="shared" si="6"/>
        <v>16.599999999999994</v>
      </c>
      <c r="X21" s="14"/>
      <c r="Y21" s="197"/>
      <c r="Z21" s="193"/>
    </row>
    <row r="22" spans="1:26" ht="25.5" customHeight="1" x14ac:dyDescent="0.25">
      <c r="A22" s="22">
        <v>4</v>
      </c>
      <c r="B22" s="23" t="s">
        <v>8</v>
      </c>
      <c r="C22" s="24" t="s">
        <v>101</v>
      </c>
      <c r="D22" s="123" t="s">
        <v>102</v>
      </c>
      <c r="E22" s="59" t="s">
        <v>33</v>
      </c>
      <c r="F22" s="32">
        <v>5</v>
      </c>
      <c r="G22" s="32">
        <v>87</v>
      </c>
      <c r="H22" s="36">
        <v>720</v>
      </c>
      <c r="I22" s="32">
        <v>28</v>
      </c>
      <c r="J22" s="32">
        <v>460</v>
      </c>
      <c r="K22" s="33">
        <v>802.8</v>
      </c>
      <c r="L22" s="60" t="s">
        <v>7</v>
      </c>
      <c r="M22" s="116"/>
      <c r="N22" s="33">
        <v>762.8</v>
      </c>
      <c r="O22" s="33"/>
      <c r="P22" s="35">
        <f t="shared" si="1"/>
        <v>762.8</v>
      </c>
      <c r="Q22" s="61" t="str">
        <f t="shared" si="4"/>
        <v>LUC</v>
      </c>
      <c r="R22" s="33">
        <v>720</v>
      </c>
      <c r="S22" s="33">
        <f t="shared" si="3"/>
        <v>42.799999999999955</v>
      </c>
      <c r="T22" s="33"/>
      <c r="U22" s="140">
        <f t="shared" si="5"/>
        <v>40</v>
      </c>
      <c r="V22" s="17"/>
      <c r="W22" s="30">
        <f t="shared" si="6"/>
        <v>82.799999999999955</v>
      </c>
      <c r="X22" s="14" t="s">
        <v>103</v>
      </c>
      <c r="Z22" s="193"/>
    </row>
    <row r="23" spans="1:26" ht="25.5" customHeight="1" x14ac:dyDescent="0.25">
      <c r="A23" s="22"/>
      <c r="B23" s="23" t="s">
        <v>8</v>
      </c>
      <c r="C23" s="24" t="s">
        <v>101</v>
      </c>
      <c r="D23" s="123" t="s">
        <v>102</v>
      </c>
      <c r="E23" s="59" t="s">
        <v>39</v>
      </c>
      <c r="F23" s="32">
        <v>5</v>
      </c>
      <c r="G23" s="32">
        <v>98</v>
      </c>
      <c r="H23" s="36">
        <v>360</v>
      </c>
      <c r="I23" s="32">
        <v>28</v>
      </c>
      <c r="J23" s="124">
        <v>732</v>
      </c>
      <c r="K23" s="125">
        <v>408.1</v>
      </c>
      <c r="L23" s="60" t="s">
        <v>7</v>
      </c>
      <c r="M23" s="116"/>
      <c r="N23" s="33">
        <f>K23</f>
        <v>408.1</v>
      </c>
      <c r="O23" s="33"/>
      <c r="P23" s="35">
        <f t="shared" si="1"/>
        <v>408.1</v>
      </c>
      <c r="Q23" s="61" t="str">
        <f>L23</f>
        <v>LUC</v>
      </c>
      <c r="R23" s="33">
        <v>360</v>
      </c>
      <c r="S23" s="33">
        <f t="shared" si="3"/>
        <v>48.100000000000023</v>
      </c>
      <c r="T23" s="33"/>
      <c r="U23" s="140">
        <f t="shared" si="5"/>
        <v>0</v>
      </c>
      <c r="V23" s="17"/>
      <c r="W23" s="30">
        <f t="shared" si="6"/>
        <v>48.100000000000023</v>
      </c>
      <c r="X23" s="16"/>
      <c r="Z23" s="193"/>
    </row>
    <row r="24" spans="1:26" ht="25.5" customHeight="1" x14ac:dyDescent="0.25">
      <c r="A24" s="22"/>
      <c r="B24" s="23" t="s">
        <v>8</v>
      </c>
      <c r="C24" s="24" t="s">
        <v>101</v>
      </c>
      <c r="D24" s="123" t="s">
        <v>102</v>
      </c>
      <c r="E24" s="59" t="s">
        <v>33</v>
      </c>
      <c r="F24" s="32" t="s">
        <v>40</v>
      </c>
      <c r="G24" s="32"/>
      <c r="H24" s="36">
        <v>360</v>
      </c>
      <c r="I24" s="32">
        <v>28</v>
      </c>
      <c r="J24" s="32">
        <v>680</v>
      </c>
      <c r="K24" s="33">
        <v>376.8</v>
      </c>
      <c r="L24" s="60" t="s">
        <v>7</v>
      </c>
      <c r="M24" s="116"/>
      <c r="N24" s="33">
        <f>K24</f>
        <v>376.8</v>
      </c>
      <c r="O24" s="33"/>
      <c r="P24" s="35">
        <f t="shared" si="1"/>
        <v>376.8</v>
      </c>
      <c r="Q24" s="61" t="str">
        <f t="shared" si="4"/>
        <v>LUC</v>
      </c>
      <c r="R24" s="33"/>
      <c r="S24" s="33">
        <f t="shared" si="3"/>
        <v>376.8</v>
      </c>
      <c r="T24" s="33"/>
      <c r="U24" s="140">
        <f t="shared" si="5"/>
        <v>0</v>
      </c>
      <c r="V24" s="15" t="s">
        <v>104</v>
      </c>
      <c r="W24" s="30">
        <f t="shared" si="6"/>
        <v>16.800000000000011</v>
      </c>
      <c r="X24" s="14"/>
      <c r="Z24" s="193"/>
    </row>
    <row r="25" spans="1:26" ht="25.5" customHeight="1" x14ac:dyDescent="0.25">
      <c r="A25" s="22">
        <v>5</v>
      </c>
      <c r="B25" s="23" t="s">
        <v>10</v>
      </c>
      <c r="C25" s="24" t="s">
        <v>105</v>
      </c>
      <c r="D25" s="115" t="s">
        <v>106</v>
      </c>
      <c r="E25" s="59" t="s">
        <v>33</v>
      </c>
      <c r="F25" s="32">
        <v>5</v>
      </c>
      <c r="G25" s="32">
        <v>66</v>
      </c>
      <c r="H25" s="36">
        <v>288</v>
      </c>
      <c r="I25" s="32">
        <v>28</v>
      </c>
      <c r="J25" s="32">
        <v>681</v>
      </c>
      <c r="K25" s="33">
        <v>422.2</v>
      </c>
      <c r="L25" s="60" t="s">
        <v>7</v>
      </c>
      <c r="M25" s="116"/>
      <c r="N25" s="33">
        <f>K25</f>
        <v>422.2</v>
      </c>
      <c r="O25" s="33"/>
      <c r="P25" s="35">
        <f t="shared" si="1"/>
        <v>422.2</v>
      </c>
      <c r="Q25" s="61" t="str">
        <f t="shared" si="4"/>
        <v>LUC</v>
      </c>
      <c r="R25" s="33">
        <v>288</v>
      </c>
      <c r="S25" s="33">
        <f t="shared" si="3"/>
        <v>134.19999999999999</v>
      </c>
      <c r="T25" s="33"/>
      <c r="U25" s="140">
        <f t="shared" si="5"/>
        <v>0</v>
      </c>
      <c r="V25" s="15"/>
      <c r="W25" s="30">
        <f t="shared" si="6"/>
        <v>134.19999999999999</v>
      </c>
      <c r="X25" s="14" t="s">
        <v>107</v>
      </c>
      <c r="Z25" s="193"/>
    </row>
    <row r="26" spans="1:26" ht="25.5" customHeight="1" x14ac:dyDescent="0.25">
      <c r="A26" s="22"/>
      <c r="B26" s="126" t="s">
        <v>10</v>
      </c>
      <c r="C26" s="24" t="s">
        <v>105</v>
      </c>
      <c r="D26" s="127" t="s">
        <v>106</v>
      </c>
      <c r="E26" s="128" t="s">
        <v>39</v>
      </c>
      <c r="F26" s="32" t="s">
        <v>40</v>
      </c>
      <c r="G26" s="32"/>
      <c r="H26" s="36">
        <v>360</v>
      </c>
      <c r="I26" s="32">
        <v>28</v>
      </c>
      <c r="J26" s="32">
        <v>733</v>
      </c>
      <c r="K26" s="33">
        <v>360.3</v>
      </c>
      <c r="L26" s="60" t="s">
        <v>7</v>
      </c>
      <c r="M26" s="116"/>
      <c r="N26" s="33">
        <f>K26</f>
        <v>360.3</v>
      </c>
      <c r="O26" s="33"/>
      <c r="P26" s="35">
        <f t="shared" si="1"/>
        <v>360.3</v>
      </c>
      <c r="Q26" s="61" t="str">
        <f t="shared" si="4"/>
        <v>LUC</v>
      </c>
      <c r="R26" s="33"/>
      <c r="S26" s="33">
        <f t="shared" si="3"/>
        <v>360.3</v>
      </c>
      <c r="T26" s="33"/>
      <c r="U26" s="140">
        <f t="shared" si="5"/>
        <v>0</v>
      </c>
      <c r="V26" s="17" t="s">
        <v>108</v>
      </c>
      <c r="W26" s="30">
        <f t="shared" si="6"/>
        <v>0.30000000000001137</v>
      </c>
      <c r="X26" s="16" t="s">
        <v>109</v>
      </c>
      <c r="Z26" s="193"/>
    </row>
    <row r="27" spans="1:26" ht="25.5" customHeight="1" x14ac:dyDescent="0.25">
      <c r="A27" s="22">
        <v>6</v>
      </c>
      <c r="B27" s="23" t="s">
        <v>49</v>
      </c>
      <c r="C27" s="24" t="s">
        <v>110</v>
      </c>
      <c r="D27" s="115" t="s">
        <v>111</v>
      </c>
      <c r="E27" s="59" t="s">
        <v>33</v>
      </c>
      <c r="F27" s="32">
        <v>5</v>
      </c>
      <c r="G27" s="32">
        <v>65</v>
      </c>
      <c r="H27" s="34">
        <v>456</v>
      </c>
      <c r="I27" s="32">
        <v>28</v>
      </c>
      <c r="J27" s="32">
        <v>727</v>
      </c>
      <c r="K27" s="33">
        <v>785.4</v>
      </c>
      <c r="L27" s="60" t="s">
        <v>7</v>
      </c>
      <c r="M27" s="116"/>
      <c r="N27" s="33">
        <f>K27</f>
        <v>785.4</v>
      </c>
      <c r="O27" s="33"/>
      <c r="P27" s="35">
        <f t="shared" si="1"/>
        <v>785.4</v>
      </c>
      <c r="Q27" s="61" t="str">
        <f t="shared" si="4"/>
        <v>LUC</v>
      </c>
      <c r="R27" s="33">
        <v>456</v>
      </c>
      <c r="S27" s="33">
        <f t="shared" si="3"/>
        <v>329.4</v>
      </c>
      <c r="T27" s="33"/>
      <c r="U27" s="140">
        <f t="shared" si="5"/>
        <v>0</v>
      </c>
      <c r="V27" s="15"/>
      <c r="W27" s="30">
        <f t="shared" si="6"/>
        <v>329.4</v>
      </c>
      <c r="X27" s="14"/>
      <c r="Z27" s="193"/>
    </row>
    <row r="28" spans="1:26" ht="25.5" customHeight="1" x14ac:dyDescent="0.25">
      <c r="A28" s="22"/>
      <c r="B28" s="23" t="s">
        <v>49</v>
      </c>
      <c r="C28" s="24" t="s">
        <v>110</v>
      </c>
      <c r="D28" s="123" t="s">
        <v>111</v>
      </c>
      <c r="E28" s="59" t="s">
        <v>112</v>
      </c>
      <c r="F28" s="32">
        <v>5</v>
      </c>
      <c r="G28" s="32">
        <v>103</v>
      </c>
      <c r="H28" s="36">
        <v>744</v>
      </c>
      <c r="I28" s="32">
        <v>28</v>
      </c>
      <c r="J28" s="32">
        <v>459</v>
      </c>
      <c r="K28" s="33">
        <v>747.2</v>
      </c>
      <c r="L28" s="60" t="s">
        <v>7</v>
      </c>
      <c r="M28" s="116"/>
      <c r="N28" s="33">
        <v>515.9</v>
      </c>
      <c r="O28" s="33"/>
      <c r="P28" s="35">
        <f t="shared" si="1"/>
        <v>515.9</v>
      </c>
      <c r="Q28" s="61" t="str">
        <f t="shared" si="4"/>
        <v>LUC</v>
      </c>
      <c r="R28" s="33">
        <v>515.9</v>
      </c>
      <c r="S28" s="33">
        <f t="shared" si="3"/>
        <v>0</v>
      </c>
      <c r="T28" s="33"/>
      <c r="U28" s="140">
        <f t="shared" si="5"/>
        <v>231.30000000000007</v>
      </c>
      <c r="V28" s="15"/>
      <c r="W28" s="30">
        <f t="shared" si="6"/>
        <v>3.2000000000000455</v>
      </c>
      <c r="X28" s="14"/>
      <c r="Z28" s="193"/>
    </row>
    <row r="29" spans="1:26" ht="38.25" x14ac:dyDescent="0.25">
      <c r="A29" s="22"/>
      <c r="B29" s="23" t="s">
        <v>49</v>
      </c>
      <c r="C29" s="24" t="s">
        <v>110</v>
      </c>
      <c r="D29" s="123" t="s">
        <v>111</v>
      </c>
      <c r="E29" s="59" t="s">
        <v>44</v>
      </c>
      <c r="F29" s="32"/>
      <c r="G29" s="32"/>
      <c r="H29" s="36"/>
      <c r="I29" s="32">
        <v>28</v>
      </c>
      <c r="J29" s="32">
        <v>464</v>
      </c>
      <c r="K29" s="33">
        <v>127.1</v>
      </c>
      <c r="L29" s="60" t="s">
        <v>48</v>
      </c>
      <c r="M29" s="116"/>
      <c r="N29" s="375">
        <v>97.8</v>
      </c>
      <c r="O29" s="375">
        <v>29.3</v>
      </c>
      <c r="P29" s="376">
        <f>N29+O29</f>
        <v>127.1</v>
      </c>
      <c r="Q29" s="377" t="str">
        <f t="shared" si="4"/>
        <v>LUK</v>
      </c>
      <c r="R29" s="375"/>
      <c r="S29" s="375">
        <f t="shared" si="3"/>
        <v>127.1</v>
      </c>
      <c r="T29" s="33"/>
      <c r="U29" s="140"/>
      <c r="V29" s="15" t="s">
        <v>435</v>
      </c>
      <c r="W29" s="30">
        <f>K29-96</f>
        <v>31.099999999999994</v>
      </c>
      <c r="X29" s="14">
        <f>96+72</f>
        <v>168</v>
      </c>
      <c r="Z29" s="193"/>
    </row>
    <row r="30" spans="1:26" ht="25.5" customHeight="1" x14ac:dyDescent="0.25">
      <c r="A30" s="22">
        <v>7</v>
      </c>
      <c r="B30" s="23" t="s">
        <v>45</v>
      </c>
      <c r="C30" s="24" t="s">
        <v>113</v>
      </c>
      <c r="D30" s="115" t="s">
        <v>114</v>
      </c>
      <c r="E30" s="59" t="s">
        <v>33</v>
      </c>
      <c r="F30" s="32" t="s">
        <v>40</v>
      </c>
      <c r="G30" s="32"/>
      <c r="H30" s="36">
        <v>168</v>
      </c>
      <c r="I30" s="32">
        <v>29</v>
      </c>
      <c r="J30" s="32">
        <v>47</v>
      </c>
      <c r="K30" s="33">
        <v>193.1</v>
      </c>
      <c r="L30" s="60" t="s">
        <v>7</v>
      </c>
      <c r="M30" s="116"/>
      <c r="N30" s="33">
        <f>K30</f>
        <v>193.1</v>
      </c>
      <c r="O30" s="33"/>
      <c r="P30" s="35">
        <f t="shared" si="1"/>
        <v>193.1</v>
      </c>
      <c r="Q30" s="61" t="str">
        <f>L30</f>
        <v>LUC</v>
      </c>
      <c r="R30" s="33"/>
      <c r="S30" s="33">
        <v>193.1</v>
      </c>
      <c r="T30" s="33"/>
      <c r="U30" s="140">
        <f t="shared" si="5"/>
        <v>0</v>
      </c>
      <c r="V30" s="15" t="s">
        <v>115</v>
      </c>
      <c r="W30" s="30">
        <f>K30-H30</f>
        <v>25.099999999999994</v>
      </c>
      <c r="X30" s="14" t="s">
        <v>116</v>
      </c>
      <c r="Z30" s="193"/>
    </row>
    <row r="31" spans="1:26" ht="25.5" customHeight="1" x14ac:dyDescent="0.25">
      <c r="A31" s="22"/>
      <c r="B31" s="23" t="s">
        <v>45</v>
      </c>
      <c r="C31" s="24" t="s">
        <v>113</v>
      </c>
      <c r="D31" s="115" t="s">
        <v>114</v>
      </c>
      <c r="E31" s="59" t="s">
        <v>117</v>
      </c>
      <c r="F31" s="32">
        <v>5</v>
      </c>
      <c r="G31" s="32">
        <v>131</v>
      </c>
      <c r="H31" s="36">
        <v>168</v>
      </c>
      <c r="I31" s="32">
        <v>28</v>
      </c>
      <c r="J31" s="32">
        <v>467</v>
      </c>
      <c r="K31" s="33">
        <v>272.5</v>
      </c>
      <c r="L31" s="60" t="s">
        <v>48</v>
      </c>
      <c r="M31" s="116"/>
      <c r="N31" s="33">
        <v>110.6</v>
      </c>
      <c r="O31" s="33"/>
      <c r="P31" s="35">
        <f t="shared" si="1"/>
        <v>110.6</v>
      </c>
      <c r="Q31" s="61" t="str">
        <f t="shared" ref="Q31:Q95" si="7">L31</f>
        <v>LUK</v>
      </c>
      <c r="R31" s="33">
        <v>110.6</v>
      </c>
      <c r="S31" s="33"/>
      <c r="T31" s="33"/>
      <c r="U31" s="140">
        <f t="shared" si="5"/>
        <v>161.9</v>
      </c>
      <c r="V31" s="15" t="s">
        <v>118</v>
      </c>
      <c r="W31" s="30">
        <f>K31-H31</f>
        <v>104.5</v>
      </c>
      <c r="X31" s="14"/>
      <c r="Z31" s="193"/>
    </row>
    <row r="32" spans="1:26" ht="25.5" customHeight="1" x14ac:dyDescent="0.25">
      <c r="A32" s="22"/>
      <c r="B32" s="23" t="s">
        <v>45</v>
      </c>
      <c r="C32" s="24" t="s">
        <v>113</v>
      </c>
      <c r="D32" s="115" t="s">
        <v>114</v>
      </c>
      <c r="E32" s="28" t="s">
        <v>119</v>
      </c>
      <c r="F32" s="32">
        <v>5</v>
      </c>
      <c r="G32" s="32">
        <v>101</v>
      </c>
      <c r="H32" s="36">
        <v>216</v>
      </c>
      <c r="I32" s="32">
        <v>28</v>
      </c>
      <c r="J32" s="32">
        <v>614</v>
      </c>
      <c r="K32" s="33">
        <v>290.7</v>
      </c>
      <c r="L32" s="60" t="s">
        <v>48</v>
      </c>
      <c r="M32" s="116"/>
      <c r="N32" s="33">
        <f>K32</f>
        <v>290.7</v>
      </c>
      <c r="O32" s="33"/>
      <c r="P32" s="35">
        <f t="shared" si="1"/>
        <v>290.7</v>
      </c>
      <c r="Q32" s="61" t="str">
        <f t="shared" si="7"/>
        <v>LUK</v>
      </c>
      <c r="R32" s="33">
        <v>216</v>
      </c>
      <c r="S32" s="33">
        <f t="shared" ref="S32:S37" si="8">P32-R32</f>
        <v>74.699999999999989</v>
      </c>
      <c r="T32" s="33"/>
      <c r="U32" s="140">
        <f t="shared" si="5"/>
        <v>0</v>
      </c>
      <c r="V32" s="15"/>
      <c r="W32" s="30">
        <f>K32-H32</f>
        <v>74.699999999999989</v>
      </c>
      <c r="X32" s="14"/>
      <c r="Z32" s="193"/>
    </row>
    <row r="33" spans="1:27" ht="25.5" customHeight="1" x14ac:dyDescent="0.25">
      <c r="A33" s="22"/>
      <c r="B33" s="23" t="s">
        <v>45</v>
      </c>
      <c r="C33" s="24" t="s">
        <v>113</v>
      </c>
      <c r="D33" s="115" t="s">
        <v>114</v>
      </c>
      <c r="E33" s="59" t="s">
        <v>33</v>
      </c>
      <c r="F33" s="32">
        <v>5</v>
      </c>
      <c r="G33" s="32">
        <v>64</v>
      </c>
      <c r="H33" s="34">
        <v>288</v>
      </c>
      <c r="I33" s="32">
        <v>28</v>
      </c>
      <c r="J33" s="32">
        <v>784</v>
      </c>
      <c r="K33" s="33">
        <v>876.3</v>
      </c>
      <c r="L33" s="60" t="s">
        <v>7</v>
      </c>
      <c r="M33" s="116"/>
      <c r="N33" s="33">
        <v>350.5</v>
      </c>
      <c r="O33" s="33"/>
      <c r="P33" s="35">
        <f>N33</f>
        <v>350.5</v>
      </c>
      <c r="Q33" s="61" t="str">
        <f>L33</f>
        <v>LUC</v>
      </c>
      <c r="R33" s="33">
        <v>288</v>
      </c>
      <c r="S33" s="33">
        <f t="shared" si="8"/>
        <v>62.5</v>
      </c>
      <c r="T33" s="33"/>
      <c r="U33" s="140">
        <v>0</v>
      </c>
      <c r="V33" s="15" t="s">
        <v>98</v>
      </c>
      <c r="W33" s="30">
        <f>P33-R33</f>
        <v>62.5</v>
      </c>
      <c r="X33" s="129"/>
      <c r="Z33" s="193"/>
    </row>
    <row r="34" spans="1:27" ht="25.5" customHeight="1" x14ac:dyDescent="0.25">
      <c r="A34" s="22">
        <v>8</v>
      </c>
      <c r="B34" s="23" t="s">
        <v>41</v>
      </c>
      <c r="C34" s="24" t="s">
        <v>120</v>
      </c>
      <c r="D34" s="115"/>
      <c r="E34" s="59" t="s">
        <v>33</v>
      </c>
      <c r="F34" s="32">
        <v>5</v>
      </c>
      <c r="G34" s="32">
        <v>64</v>
      </c>
      <c r="H34" s="34">
        <v>432</v>
      </c>
      <c r="I34" s="32">
        <v>28</v>
      </c>
      <c r="J34" s="32">
        <v>784</v>
      </c>
      <c r="K34" s="33">
        <v>876.3</v>
      </c>
      <c r="L34" s="60" t="s">
        <v>7</v>
      </c>
      <c r="M34" s="116"/>
      <c r="N34" s="33">
        <v>525.79999999999995</v>
      </c>
      <c r="O34" s="33"/>
      <c r="P34" s="35">
        <f>N34</f>
        <v>525.79999999999995</v>
      </c>
      <c r="Q34" s="61" t="str">
        <f>L34</f>
        <v>LUC</v>
      </c>
      <c r="R34" s="33">
        <v>432</v>
      </c>
      <c r="S34" s="33">
        <f t="shared" si="8"/>
        <v>93.799999999999955</v>
      </c>
      <c r="T34" s="33"/>
      <c r="U34" s="140">
        <v>0</v>
      </c>
      <c r="V34" s="15" t="s">
        <v>98</v>
      </c>
      <c r="W34" s="30">
        <f>P34-R34</f>
        <v>93.799999999999955</v>
      </c>
      <c r="X34" s="129"/>
      <c r="Z34" s="193"/>
    </row>
    <row r="35" spans="1:27" ht="25.5" customHeight="1" x14ac:dyDescent="0.25">
      <c r="A35" s="22">
        <v>9</v>
      </c>
      <c r="B35" s="23" t="s">
        <v>121</v>
      </c>
      <c r="C35" s="24" t="s">
        <v>122</v>
      </c>
      <c r="D35" s="115" t="s">
        <v>123</v>
      </c>
      <c r="E35" s="59" t="s">
        <v>33</v>
      </c>
      <c r="F35" s="32">
        <v>5</v>
      </c>
      <c r="G35" s="32">
        <v>70</v>
      </c>
      <c r="H35" s="36">
        <v>600</v>
      </c>
      <c r="I35" s="32">
        <v>29</v>
      </c>
      <c r="J35" s="32">
        <v>14</v>
      </c>
      <c r="K35" s="33">
        <v>668.6</v>
      </c>
      <c r="L35" s="60" t="s">
        <v>7</v>
      </c>
      <c r="M35" s="130"/>
      <c r="N35" s="33">
        <f>K35</f>
        <v>668.6</v>
      </c>
      <c r="O35" s="33"/>
      <c r="P35" s="35">
        <f t="shared" si="1"/>
        <v>668.6</v>
      </c>
      <c r="Q35" s="61" t="str">
        <f t="shared" si="7"/>
        <v>LUC</v>
      </c>
      <c r="R35" s="33">
        <v>600</v>
      </c>
      <c r="S35" s="33">
        <f t="shared" si="8"/>
        <v>68.600000000000023</v>
      </c>
      <c r="T35" s="33"/>
      <c r="U35" s="140">
        <f t="shared" si="5"/>
        <v>0</v>
      </c>
      <c r="V35" s="17"/>
      <c r="W35" s="30">
        <f>P35-R35</f>
        <v>68.600000000000023</v>
      </c>
      <c r="X35" s="14" t="s">
        <v>124</v>
      </c>
      <c r="Z35" s="193"/>
    </row>
    <row r="36" spans="1:27" ht="25.5" customHeight="1" x14ac:dyDescent="0.25">
      <c r="A36" s="22"/>
      <c r="B36" s="23" t="s">
        <v>121</v>
      </c>
      <c r="C36" s="24" t="s">
        <v>122</v>
      </c>
      <c r="D36" s="115" t="s">
        <v>123</v>
      </c>
      <c r="E36" s="59" t="s">
        <v>33</v>
      </c>
      <c r="F36" s="32">
        <v>5</v>
      </c>
      <c r="G36" s="32">
        <v>33</v>
      </c>
      <c r="H36" s="36">
        <v>480</v>
      </c>
      <c r="I36" s="32">
        <v>29</v>
      </c>
      <c r="J36" s="32">
        <v>41</v>
      </c>
      <c r="K36" s="33">
        <v>2954.6</v>
      </c>
      <c r="L36" s="131" t="s">
        <v>53</v>
      </c>
      <c r="M36" s="116"/>
      <c r="N36" s="33">
        <v>480</v>
      </c>
      <c r="O36" s="33"/>
      <c r="P36" s="35">
        <f t="shared" si="1"/>
        <v>480</v>
      </c>
      <c r="Q36" s="61" t="s">
        <v>7</v>
      </c>
      <c r="R36" s="33">
        <v>480</v>
      </c>
      <c r="S36" s="33">
        <f t="shared" si="8"/>
        <v>0</v>
      </c>
      <c r="T36" s="33"/>
      <c r="U36" s="140"/>
      <c r="V36" s="28" t="s">
        <v>282</v>
      </c>
      <c r="W36" s="30">
        <f t="shared" ref="W36:W42" si="9">K36-H36</f>
        <v>2474.6</v>
      </c>
      <c r="X36" s="14"/>
      <c r="Z36" s="193"/>
    </row>
    <row r="37" spans="1:27" ht="60" x14ac:dyDescent="0.25">
      <c r="A37" s="22"/>
      <c r="B37" s="23" t="s">
        <v>41</v>
      </c>
      <c r="C37" s="24" t="s">
        <v>122</v>
      </c>
      <c r="D37" s="115" t="s">
        <v>123</v>
      </c>
      <c r="E37" s="59" t="s">
        <v>42</v>
      </c>
      <c r="F37" s="32">
        <v>5</v>
      </c>
      <c r="G37" s="32">
        <v>96</v>
      </c>
      <c r="H37" s="36">
        <v>24</v>
      </c>
      <c r="I37" s="32">
        <v>28</v>
      </c>
      <c r="J37" s="32">
        <v>853</v>
      </c>
      <c r="K37" s="33">
        <v>82.8</v>
      </c>
      <c r="L37" s="60" t="s">
        <v>7</v>
      </c>
      <c r="M37" s="116">
        <v>3.1</v>
      </c>
      <c r="N37" s="33">
        <f>82.8-3.1</f>
        <v>79.7</v>
      </c>
      <c r="O37" s="33"/>
      <c r="P37" s="35">
        <f t="shared" si="1"/>
        <v>79.7</v>
      </c>
      <c r="Q37" s="61" t="str">
        <f t="shared" si="7"/>
        <v>LUC</v>
      </c>
      <c r="R37" s="33">
        <f>24-3.1</f>
        <v>20.9</v>
      </c>
      <c r="S37" s="33">
        <f t="shared" si="8"/>
        <v>58.800000000000004</v>
      </c>
      <c r="T37" s="33"/>
      <c r="U37" s="140">
        <v>0</v>
      </c>
      <c r="V37" s="198" t="s">
        <v>283</v>
      </c>
      <c r="W37" s="30">
        <f t="shared" si="9"/>
        <v>58.8</v>
      </c>
      <c r="X37" s="14" t="s">
        <v>126</v>
      </c>
      <c r="Z37" s="193"/>
    </row>
    <row r="38" spans="1:27" ht="30" customHeight="1" x14ac:dyDescent="0.25">
      <c r="A38" s="22">
        <v>10</v>
      </c>
      <c r="B38" s="23" t="s">
        <v>10</v>
      </c>
      <c r="C38" s="24" t="s">
        <v>127</v>
      </c>
      <c r="D38" s="115" t="s">
        <v>128</v>
      </c>
      <c r="E38" s="59" t="s">
        <v>33</v>
      </c>
      <c r="F38" s="32">
        <v>5</v>
      </c>
      <c r="G38" s="32">
        <v>65</v>
      </c>
      <c r="H38" s="132">
        <v>1512</v>
      </c>
      <c r="I38" s="32">
        <v>29</v>
      </c>
      <c r="J38" s="32">
        <v>55</v>
      </c>
      <c r="K38" s="33">
        <v>1415.1</v>
      </c>
      <c r="L38" s="60" t="s">
        <v>7</v>
      </c>
      <c r="M38" s="116"/>
      <c r="N38" s="33">
        <f t="shared" ref="N38:N43" si="10">K38</f>
        <v>1415.1</v>
      </c>
      <c r="O38" s="33"/>
      <c r="P38" s="35">
        <f>N38</f>
        <v>1415.1</v>
      </c>
      <c r="Q38" s="61" t="str">
        <f>L38</f>
        <v>LUC</v>
      </c>
      <c r="R38" s="33">
        <v>1415.1</v>
      </c>
      <c r="S38" s="33"/>
      <c r="T38" s="33"/>
      <c r="U38" s="140">
        <f>K38-N38</f>
        <v>0</v>
      </c>
      <c r="V38" s="28" t="s">
        <v>129</v>
      </c>
      <c r="W38" s="30">
        <f t="shared" si="9"/>
        <v>-96.900000000000091</v>
      </c>
      <c r="X38" s="14" t="s">
        <v>130</v>
      </c>
      <c r="Z38" s="193"/>
    </row>
    <row r="39" spans="1:27" ht="25.5" customHeight="1" x14ac:dyDescent="0.25">
      <c r="A39" s="22">
        <v>11</v>
      </c>
      <c r="B39" s="23" t="s">
        <v>10</v>
      </c>
      <c r="C39" s="24" t="s">
        <v>131</v>
      </c>
      <c r="D39" s="115" t="s">
        <v>96</v>
      </c>
      <c r="E39" s="28" t="s">
        <v>46</v>
      </c>
      <c r="F39" s="32" t="s">
        <v>40</v>
      </c>
      <c r="G39" s="32"/>
      <c r="H39" s="36">
        <v>240</v>
      </c>
      <c r="I39" s="32">
        <v>28</v>
      </c>
      <c r="J39" s="32">
        <v>726</v>
      </c>
      <c r="K39" s="33">
        <v>293.60000000000002</v>
      </c>
      <c r="L39" s="60" t="s">
        <v>43</v>
      </c>
      <c r="M39" s="116"/>
      <c r="N39" s="33">
        <f t="shared" si="10"/>
        <v>293.60000000000002</v>
      </c>
      <c r="O39" s="33"/>
      <c r="P39" s="35">
        <f t="shared" si="1"/>
        <v>293.60000000000002</v>
      </c>
      <c r="Q39" s="61" t="s">
        <v>86</v>
      </c>
      <c r="R39" s="33"/>
      <c r="S39" s="33">
        <f>P39-R39</f>
        <v>293.60000000000002</v>
      </c>
      <c r="T39" s="33"/>
      <c r="U39" s="140">
        <f t="shared" ref="U39:U47" si="11">K39-N39</f>
        <v>0</v>
      </c>
      <c r="V39" s="15" t="s">
        <v>132</v>
      </c>
      <c r="W39" s="30">
        <f t="shared" si="9"/>
        <v>53.600000000000023</v>
      </c>
      <c r="X39" s="14"/>
      <c r="Z39" s="193"/>
    </row>
    <row r="40" spans="1:27" ht="25.5" customHeight="1" x14ac:dyDescent="0.25">
      <c r="A40" s="22"/>
      <c r="B40" s="23" t="s">
        <v>10</v>
      </c>
      <c r="C40" s="24" t="s">
        <v>131</v>
      </c>
      <c r="D40" s="115" t="s">
        <v>96</v>
      </c>
      <c r="E40" s="59" t="s">
        <v>33</v>
      </c>
      <c r="F40" s="32">
        <v>5</v>
      </c>
      <c r="G40" s="32">
        <v>67</v>
      </c>
      <c r="H40" s="36">
        <v>648</v>
      </c>
      <c r="I40" s="32">
        <v>29</v>
      </c>
      <c r="J40" s="32">
        <v>27</v>
      </c>
      <c r="K40" s="33">
        <v>696.9</v>
      </c>
      <c r="L40" s="60" t="s">
        <v>7</v>
      </c>
      <c r="M40" s="116"/>
      <c r="N40" s="33">
        <f t="shared" si="10"/>
        <v>696.9</v>
      </c>
      <c r="O40" s="33"/>
      <c r="P40" s="35">
        <f t="shared" si="1"/>
        <v>696.9</v>
      </c>
      <c r="Q40" s="61" t="str">
        <f t="shared" si="7"/>
        <v>LUC</v>
      </c>
      <c r="R40" s="33">
        <v>648</v>
      </c>
      <c r="S40" s="33">
        <f>P40-R40</f>
        <v>48.899999999999977</v>
      </c>
      <c r="T40" s="33"/>
      <c r="U40" s="140">
        <f t="shared" si="11"/>
        <v>0</v>
      </c>
      <c r="V40" s="17"/>
      <c r="W40" s="30">
        <f t="shared" si="9"/>
        <v>48.899999999999977</v>
      </c>
      <c r="X40" s="133"/>
      <c r="Z40" s="193"/>
    </row>
    <row r="41" spans="1:27" ht="30" x14ac:dyDescent="0.25">
      <c r="A41" s="22">
        <v>12</v>
      </c>
      <c r="B41" s="23" t="s">
        <v>37</v>
      </c>
      <c r="C41" s="24" t="s">
        <v>133</v>
      </c>
      <c r="D41" s="123" t="s">
        <v>278</v>
      </c>
      <c r="E41" s="59" t="s">
        <v>44</v>
      </c>
      <c r="F41" s="32">
        <v>5</v>
      </c>
      <c r="G41" s="32">
        <v>131</v>
      </c>
      <c r="H41" s="36">
        <v>156</v>
      </c>
      <c r="I41" s="32">
        <v>28</v>
      </c>
      <c r="J41" s="32">
        <v>547</v>
      </c>
      <c r="K41" s="33">
        <v>157.30000000000001</v>
      </c>
      <c r="L41" s="60" t="s">
        <v>48</v>
      </c>
      <c r="M41" s="116"/>
      <c r="N41" s="33">
        <f t="shared" si="10"/>
        <v>157.30000000000001</v>
      </c>
      <c r="O41" s="33"/>
      <c r="P41" s="35">
        <f>N41</f>
        <v>157.30000000000001</v>
      </c>
      <c r="Q41" s="61" t="str">
        <f>L41</f>
        <v>LUK</v>
      </c>
      <c r="R41" s="33">
        <v>156</v>
      </c>
      <c r="S41" s="33">
        <f>P41-R41</f>
        <v>1.3000000000000114</v>
      </c>
      <c r="T41" s="33"/>
      <c r="U41" s="140">
        <f>K41-N41</f>
        <v>0</v>
      </c>
      <c r="V41" s="15"/>
      <c r="W41" s="30">
        <f t="shared" si="9"/>
        <v>1.3000000000000114</v>
      </c>
      <c r="X41" s="14"/>
      <c r="Z41" s="193"/>
    </row>
    <row r="42" spans="1:27" ht="30" x14ac:dyDescent="0.25">
      <c r="A42" s="22"/>
      <c r="B42" s="23" t="s">
        <v>37</v>
      </c>
      <c r="C42" s="24" t="s">
        <v>133</v>
      </c>
      <c r="D42" s="123" t="s">
        <v>278</v>
      </c>
      <c r="E42" s="59" t="s">
        <v>44</v>
      </c>
      <c r="F42" s="195"/>
      <c r="G42" s="195"/>
      <c r="H42" s="34"/>
      <c r="I42" s="32">
        <v>28</v>
      </c>
      <c r="J42" s="32">
        <v>607</v>
      </c>
      <c r="K42" s="33">
        <v>171.9</v>
      </c>
      <c r="L42" s="60" t="s">
        <v>48</v>
      </c>
      <c r="M42" s="116"/>
      <c r="N42" s="33">
        <f t="shared" si="10"/>
        <v>171.9</v>
      </c>
      <c r="O42" s="33"/>
      <c r="P42" s="35">
        <f>N42</f>
        <v>171.9</v>
      </c>
      <c r="Q42" s="61" t="str">
        <f>L42</f>
        <v>LUK</v>
      </c>
      <c r="R42" s="33"/>
      <c r="S42" s="33">
        <f>P42-R42</f>
        <v>171.9</v>
      </c>
      <c r="T42" s="33"/>
      <c r="U42" s="140">
        <f>K42-N42</f>
        <v>0</v>
      </c>
      <c r="V42" s="15" t="s">
        <v>134</v>
      </c>
      <c r="W42" s="30">
        <f t="shared" si="9"/>
        <v>171.9</v>
      </c>
      <c r="X42" s="14"/>
      <c r="Z42" s="193"/>
    </row>
    <row r="43" spans="1:27" ht="25.5" customHeight="1" x14ac:dyDescent="0.25">
      <c r="A43" s="22">
        <v>13</v>
      </c>
      <c r="B43" s="23" t="s">
        <v>37</v>
      </c>
      <c r="C43" s="24" t="s">
        <v>135</v>
      </c>
      <c r="D43" s="115" t="s">
        <v>136</v>
      </c>
      <c r="E43" s="59" t="s">
        <v>33</v>
      </c>
      <c r="F43" s="560">
        <v>5</v>
      </c>
      <c r="G43" s="560">
        <v>42</v>
      </c>
      <c r="H43" s="574">
        <v>504</v>
      </c>
      <c r="I43" s="32">
        <v>29</v>
      </c>
      <c r="J43" s="32">
        <v>38</v>
      </c>
      <c r="K43" s="33">
        <v>368.9</v>
      </c>
      <c r="L43" s="60" t="s">
        <v>7</v>
      </c>
      <c r="M43" s="116"/>
      <c r="N43" s="33">
        <f t="shared" si="10"/>
        <v>368.9</v>
      </c>
      <c r="O43" s="33"/>
      <c r="P43" s="35">
        <f t="shared" si="1"/>
        <v>368.9</v>
      </c>
      <c r="Q43" s="61" t="str">
        <f t="shared" si="7"/>
        <v>LUC</v>
      </c>
      <c r="R43" s="33">
        <v>368.9</v>
      </c>
      <c r="S43" s="33">
        <f>P43-R43</f>
        <v>0</v>
      </c>
      <c r="T43" s="33"/>
      <c r="U43" s="140">
        <f t="shared" si="11"/>
        <v>0</v>
      </c>
      <c r="V43" s="28"/>
      <c r="W43" s="562">
        <f>K43+K44-H43</f>
        <v>109.70000000000005</v>
      </c>
      <c r="X43" s="14"/>
      <c r="Y43" s="575"/>
      <c r="Z43" s="572"/>
    </row>
    <row r="44" spans="1:27" ht="25.5" customHeight="1" x14ac:dyDescent="0.25">
      <c r="A44" s="22"/>
      <c r="B44" s="23" t="s">
        <v>37</v>
      </c>
      <c r="C44" s="24" t="s">
        <v>135</v>
      </c>
      <c r="D44" s="115" t="s">
        <v>136</v>
      </c>
      <c r="E44" s="59" t="s">
        <v>33</v>
      </c>
      <c r="F44" s="560"/>
      <c r="G44" s="560"/>
      <c r="H44" s="574"/>
      <c r="I44" s="32">
        <v>29</v>
      </c>
      <c r="J44" s="32">
        <v>40</v>
      </c>
      <c r="K44" s="33">
        <v>244.8</v>
      </c>
      <c r="L44" s="60" t="s">
        <v>7</v>
      </c>
      <c r="M44" s="116"/>
      <c r="N44" s="33">
        <v>244.8</v>
      </c>
      <c r="O44" s="33"/>
      <c r="P44" s="35">
        <f t="shared" si="1"/>
        <v>244.8</v>
      </c>
      <c r="Q44" s="61" t="str">
        <f t="shared" si="7"/>
        <v>LUC</v>
      </c>
      <c r="R44" s="33">
        <f>504-368.9</f>
        <v>135.10000000000002</v>
      </c>
      <c r="S44" s="33">
        <f>K43+K44-H43</f>
        <v>109.70000000000005</v>
      </c>
      <c r="T44" s="33"/>
      <c r="U44" s="140">
        <f t="shared" si="11"/>
        <v>0</v>
      </c>
      <c r="V44" s="28"/>
      <c r="W44" s="562"/>
      <c r="X44" s="14"/>
      <c r="Y44" s="575"/>
      <c r="Z44" s="572"/>
    </row>
    <row r="45" spans="1:27" ht="25.5" customHeight="1" x14ac:dyDescent="0.25">
      <c r="A45" s="22"/>
      <c r="B45" s="23" t="s">
        <v>37</v>
      </c>
      <c r="C45" s="24" t="s">
        <v>135</v>
      </c>
      <c r="D45" s="115" t="s">
        <v>136</v>
      </c>
      <c r="E45" s="59" t="s">
        <v>33</v>
      </c>
      <c r="F45" s="32">
        <v>5</v>
      </c>
      <c r="G45" s="32">
        <v>37</v>
      </c>
      <c r="H45" s="36">
        <v>792</v>
      </c>
      <c r="I45" s="32">
        <v>29</v>
      </c>
      <c r="J45" s="32">
        <v>51</v>
      </c>
      <c r="K45" s="33">
        <v>788.7</v>
      </c>
      <c r="L45" s="60" t="s">
        <v>7</v>
      </c>
      <c r="M45" s="116"/>
      <c r="N45" s="33">
        <f>K45</f>
        <v>788.7</v>
      </c>
      <c r="O45" s="33"/>
      <c r="P45" s="35">
        <f t="shared" si="1"/>
        <v>788.7</v>
      </c>
      <c r="Q45" s="61" t="str">
        <f t="shared" si="7"/>
        <v>LUC</v>
      </c>
      <c r="R45" s="33">
        <v>788.7</v>
      </c>
      <c r="S45" s="33">
        <f>P45-R45</f>
        <v>0</v>
      </c>
      <c r="T45" s="33"/>
      <c r="U45" s="140">
        <f t="shared" si="11"/>
        <v>0</v>
      </c>
      <c r="V45" s="17"/>
      <c r="W45" s="30">
        <f t="shared" ref="W45:W55" si="12">K45-H45</f>
        <v>-3.2999999999999545</v>
      </c>
      <c r="X45" s="14"/>
      <c r="Y45" s="575"/>
      <c r="Z45" s="193"/>
    </row>
    <row r="46" spans="1:27" ht="25.5" customHeight="1" x14ac:dyDescent="0.25">
      <c r="A46" s="22"/>
      <c r="B46" s="126" t="s">
        <v>32</v>
      </c>
      <c r="C46" s="24" t="s">
        <v>135</v>
      </c>
      <c r="D46" s="115" t="s">
        <v>136</v>
      </c>
      <c r="E46" s="59" t="s">
        <v>39</v>
      </c>
      <c r="F46" s="32">
        <v>5</v>
      </c>
      <c r="G46" s="32">
        <v>98</v>
      </c>
      <c r="H46" s="36">
        <v>288</v>
      </c>
      <c r="I46" s="32">
        <v>28</v>
      </c>
      <c r="J46" s="32">
        <v>722</v>
      </c>
      <c r="K46" s="33">
        <v>302.2</v>
      </c>
      <c r="L46" s="60" t="s">
        <v>7</v>
      </c>
      <c r="M46" s="116"/>
      <c r="N46" s="33">
        <f>K46</f>
        <v>302.2</v>
      </c>
      <c r="O46" s="33"/>
      <c r="P46" s="35">
        <f t="shared" si="1"/>
        <v>302.2</v>
      </c>
      <c r="Q46" s="61" t="str">
        <f t="shared" si="7"/>
        <v>LUC</v>
      </c>
      <c r="R46" s="33">
        <v>288</v>
      </c>
      <c r="S46" s="33">
        <f>P46-R46</f>
        <v>14.199999999999989</v>
      </c>
      <c r="T46" s="33"/>
      <c r="U46" s="140">
        <f t="shared" si="11"/>
        <v>0</v>
      </c>
      <c r="V46" s="17"/>
      <c r="W46" s="30">
        <f t="shared" si="12"/>
        <v>14.199999999999989</v>
      </c>
      <c r="X46" s="16"/>
      <c r="Y46" s="575"/>
      <c r="Z46" s="193"/>
    </row>
    <row r="47" spans="1:27" ht="60" customHeight="1" x14ac:dyDescent="0.25">
      <c r="A47" s="22"/>
      <c r="B47" s="23" t="s">
        <v>32</v>
      </c>
      <c r="C47" s="24" t="s">
        <v>135</v>
      </c>
      <c r="D47" s="115" t="s">
        <v>136</v>
      </c>
      <c r="E47" s="59" t="s">
        <v>33</v>
      </c>
      <c r="F47" s="122"/>
      <c r="G47" s="122"/>
      <c r="H47" s="165"/>
      <c r="I47" s="32">
        <v>29</v>
      </c>
      <c r="J47" s="32">
        <v>15</v>
      </c>
      <c r="K47" s="33">
        <v>448.2</v>
      </c>
      <c r="L47" s="60" t="s">
        <v>7</v>
      </c>
      <c r="M47" s="116"/>
      <c r="N47" s="33">
        <f>K47</f>
        <v>448.2</v>
      </c>
      <c r="O47" s="33"/>
      <c r="P47" s="35">
        <f t="shared" si="1"/>
        <v>448.2</v>
      </c>
      <c r="Q47" s="61" t="str">
        <f t="shared" si="7"/>
        <v>LUC</v>
      </c>
      <c r="R47" s="33"/>
      <c r="S47" s="33">
        <f>P47-R47</f>
        <v>448.2</v>
      </c>
      <c r="T47" s="33"/>
      <c r="U47" s="140">
        <f t="shared" si="11"/>
        <v>0</v>
      </c>
      <c r="V47" s="134" t="s">
        <v>284</v>
      </c>
      <c r="W47" s="30">
        <f t="shared" si="12"/>
        <v>448.2</v>
      </c>
      <c r="X47" s="134" t="s">
        <v>285</v>
      </c>
      <c r="Y47" s="200">
        <f>504-P47</f>
        <v>55.800000000000011</v>
      </c>
      <c r="Z47" s="193"/>
      <c r="AA47" s="201"/>
    </row>
    <row r="48" spans="1:27" ht="60" x14ac:dyDescent="0.25">
      <c r="A48" s="22">
        <v>14</v>
      </c>
      <c r="B48" s="126" t="s">
        <v>45</v>
      </c>
      <c r="C48" s="24" t="s">
        <v>137</v>
      </c>
      <c r="D48" s="135"/>
      <c r="E48" s="59" t="s">
        <v>39</v>
      </c>
      <c r="F48" s="32">
        <v>5</v>
      </c>
      <c r="G48" s="32">
        <v>135</v>
      </c>
      <c r="H48" s="34">
        <v>360</v>
      </c>
      <c r="I48" s="32">
        <v>28</v>
      </c>
      <c r="J48" s="32">
        <v>720</v>
      </c>
      <c r="K48" s="33">
        <v>370.2</v>
      </c>
      <c r="L48" s="60" t="s">
        <v>7</v>
      </c>
      <c r="M48" s="116">
        <v>18.3</v>
      </c>
      <c r="N48" s="33">
        <f>370.2-18.3</f>
        <v>351.9</v>
      </c>
      <c r="O48" s="33"/>
      <c r="P48" s="35">
        <f t="shared" si="1"/>
        <v>351.9</v>
      </c>
      <c r="Q48" s="61" t="str">
        <f t="shared" si="7"/>
        <v>LUC</v>
      </c>
      <c r="R48" s="33">
        <f>360-18.3</f>
        <v>341.7</v>
      </c>
      <c r="S48" s="33">
        <f>P48-R48</f>
        <v>10.199999999999989</v>
      </c>
      <c r="T48" s="33"/>
      <c r="U48" s="140"/>
      <c r="V48" s="198" t="s">
        <v>286</v>
      </c>
      <c r="W48" s="30">
        <f t="shared" si="12"/>
        <v>10.199999999999989</v>
      </c>
      <c r="X48" s="16"/>
      <c r="Z48" s="193"/>
    </row>
    <row r="49" spans="1:27" ht="30" customHeight="1" x14ac:dyDescent="0.25">
      <c r="A49" s="22">
        <v>15</v>
      </c>
      <c r="B49" s="23" t="s">
        <v>54</v>
      </c>
      <c r="C49" s="24" t="s">
        <v>27</v>
      </c>
      <c r="D49" s="194" t="s">
        <v>84</v>
      </c>
      <c r="E49" s="59" t="s">
        <v>33</v>
      </c>
      <c r="F49" s="32">
        <v>5</v>
      </c>
      <c r="G49" s="32">
        <v>64</v>
      </c>
      <c r="H49" s="36">
        <v>240</v>
      </c>
      <c r="I49" s="32">
        <v>28</v>
      </c>
      <c r="J49" s="32">
        <v>782</v>
      </c>
      <c r="K49" s="33">
        <v>441.7</v>
      </c>
      <c r="L49" s="60" t="s">
        <v>7</v>
      </c>
      <c r="M49" s="120"/>
      <c r="N49" s="33">
        <v>240</v>
      </c>
      <c r="O49" s="33"/>
      <c r="P49" s="35">
        <f>N49</f>
        <v>240</v>
      </c>
      <c r="Q49" s="61" t="str">
        <f>L49</f>
        <v>LUC</v>
      </c>
      <c r="R49" s="33">
        <v>240</v>
      </c>
      <c r="S49" s="33"/>
      <c r="T49" s="33"/>
      <c r="U49" s="140">
        <v>0</v>
      </c>
      <c r="V49" s="15" t="s">
        <v>277</v>
      </c>
      <c r="W49" s="117">
        <v>0</v>
      </c>
      <c r="X49" s="16"/>
      <c r="Z49" s="193"/>
    </row>
    <row r="50" spans="1:27" ht="26.1" customHeight="1" x14ac:dyDescent="0.25">
      <c r="A50" s="22">
        <v>16</v>
      </c>
      <c r="B50" s="23" t="s">
        <v>10</v>
      </c>
      <c r="C50" s="24" t="s">
        <v>139</v>
      </c>
      <c r="D50" s="115" t="s">
        <v>140</v>
      </c>
      <c r="E50" s="59" t="s">
        <v>33</v>
      </c>
      <c r="F50" s="32">
        <v>5</v>
      </c>
      <c r="G50" s="32">
        <v>44</v>
      </c>
      <c r="H50" s="36">
        <v>168</v>
      </c>
      <c r="I50" s="32">
        <v>29</v>
      </c>
      <c r="J50" s="32">
        <v>74</v>
      </c>
      <c r="K50" s="33">
        <v>213.1</v>
      </c>
      <c r="L50" s="60" t="s">
        <v>43</v>
      </c>
      <c r="M50" s="116"/>
      <c r="N50" s="33">
        <v>192.9</v>
      </c>
      <c r="O50" s="33"/>
      <c r="P50" s="35">
        <f t="shared" si="1"/>
        <v>192.9</v>
      </c>
      <c r="Q50" s="61" t="s">
        <v>86</v>
      </c>
      <c r="R50" s="33">
        <v>168</v>
      </c>
      <c r="S50" s="33">
        <f t="shared" ref="S50:S63" si="13">P50-R50</f>
        <v>24.900000000000006</v>
      </c>
      <c r="T50" s="33"/>
      <c r="U50" s="140">
        <f t="shared" ref="U50:U56" si="14">K50-N50</f>
        <v>20.199999999999989</v>
      </c>
      <c r="V50" s="15" t="s">
        <v>287</v>
      </c>
      <c r="W50" s="30">
        <f t="shared" si="12"/>
        <v>45.099999999999994</v>
      </c>
      <c r="X50" s="14"/>
      <c r="Z50" s="193"/>
    </row>
    <row r="51" spans="1:27" ht="26.1" customHeight="1" x14ac:dyDescent="0.25">
      <c r="A51" s="22"/>
      <c r="B51" s="23" t="s">
        <v>10</v>
      </c>
      <c r="C51" s="24" t="s">
        <v>139</v>
      </c>
      <c r="D51" s="115" t="s">
        <v>140</v>
      </c>
      <c r="E51" s="59" t="s">
        <v>33</v>
      </c>
      <c r="F51" s="32">
        <v>5</v>
      </c>
      <c r="G51" s="32">
        <v>79</v>
      </c>
      <c r="H51" s="36">
        <v>864</v>
      </c>
      <c r="I51" s="32">
        <v>28</v>
      </c>
      <c r="J51" s="32">
        <v>611</v>
      </c>
      <c r="K51" s="33">
        <v>860.9</v>
      </c>
      <c r="L51" s="60" t="s">
        <v>7</v>
      </c>
      <c r="M51" s="116"/>
      <c r="N51" s="33">
        <f>K51</f>
        <v>860.9</v>
      </c>
      <c r="O51" s="33"/>
      <c r="P51" s="35">
        <f t="shared" si="1"/>
        <v>860.9</v>
      </c>
      <c r="Q51" s="61" t="str">
        <f t="shared" si="7"/>
        <v>LUC</v>
      </c>
      <c r="R51" s="33">
        <v>860.9</v>
      </c>
      <c r="S51" s="33">
        <f t="shared" si="13"/>
        <v>0</v>
      </c>
      <c r="T51" s="33"/>
      <c r="U51" s="140">
        <f t="shared" si="14"/>
        <v>0</v>
      </c>
      <c r="V51" s="15" t="s">
        <v>141</v>
      </c>
      <c r="W51" s="30">
        <f t="shared" si="12"/>
        <v>-3.1000000000000227</v>
      </c>
      <c r="X51" s="14"/>
      <c r="Z51" s="193"/>
    </row>
    <row r="52" spans="1:27" ht="26.1" customHeight="1" x14ac:dyDescent="0.25">
      <c r="A52" s="22"/>
      <c r="B52" s="23" t="s">
        <v>10</v>
      </c>
      <c r="C52" s="24" t="s">
        <v>139</v>
      </c>
      <c r="D52" s="123" t="s">
        <v>140</v>
      </c>
      <c r="E52" s="59" t="s">
        <v>33</v>
      </c>
      <c r="F52" s="32">
        <v>5</v>
      </c>
      <c r="G52" s="32">
        <v>33</v>
      </c>
      <c r="H52" s="36">
        <v>432</v>
      </c>
      <c r="I52" s="32">
        <v>29</v>
      </c>
      <c r="J52" s="32">
        <v>32</v>
      </c>
      <c r="K52" s="33">
        <v>691.9</v>
      </c>
      <c r="L52" s="60" t="s">
        <v>7</v>
      </c>
      <c r="M52" s="116"/>
      <c r="N52" s="33">
        <f>K52</f>
        <v>691.9</v>
      </c>
      <c r="O52" s="33"/>
      <c r="P52" s="35">
        <f t="shared" si="1"/>
        <v>691.9</v>
      </c>
      <c r="Q52" s="61" t="str">
        <f t="shared" si="7"/>
        <v>LUC</v>
      </c>
      <c r="R52" s="33">
        <v>432</v>
      </c>
      <c r="S52" s="33">
        <f t="shared" si="13"/>
        <v>259.89999999999998</v>
      </c>
      <c r="T52" s="33"/>
      <c r="U52" s="140">
        <f t="shared" si="14"/>
        <v>0</v>
      </c>
      <c r="V52" s="15" t="s">
        <v>288</v>
      </c>
      <c r="W52" s="30">
        <f t="shared" si="12"/>
        <v>259.89999999999998</v>
      </c>
      <c r="X52" s="14"/>
      <c r="Z52" s="193"/>
    </row>
    <row r="53" spans="1:27" ht="26.1" customHeight="1" x14ac:dyDescent="0.25">
      <c r="A53" s="22">
        <v>17</v>
      </c>
      <c r="B53" s="23" t="s">
        <v>45</v>
      </c>
      <c r="C53" s="24" t="s">
        <v>142</v>
      </c>
      <c r="D53" s="115" t="s">
        <v>143</v>
      </c>
      <c r="E53" s="59" t="s">
        <v>33</v>
      </c>
      <c r="F53" s="32"/>
      <c r="G53" s="32"/>
      <c r="H53" s="36"/>
      <c r="I53" s="32">
        <v>29</v>
      </c>
      <c r="J53" s="32">
        <v>79</v>
      </c>
      <c r="K53" s="33">
        <v>225</v>
      </c>
      <c r="L53" s="60" t="s">
        <v>7</v>
      </c>
      <c r="M53" s="116"/>
      <c r="N53" s="33">
        <v>170.7</v>
      </c>
      <c r="O53" s="33"/>
      <c r="P53" s="35">
        <f t="shared" si="1"/>
        <v>170.7</v>
      </c>
      <c r="Q53" s="61" t="str">
        <f t="shared" si="7"/>
        <v>LUC</v>
      </c>
      <c r="R53" s="33">
        <v>0</v>
      </c>
      <c r="S53" s="33">
        <f t="shared" si="13"/>
        <v>170.7</v>
      </c>
      <c r="T53" s="33"/>
      <c r="U53" s="140">
        <f t="shared" si="14"/>
        <v>54.300000000000011</v>
      </c>
      <c r="V53" s="15"/>
      <c r="W53" s="30">
        <f t="shared" si="12"/>
        <v>225</v>
      </c>
      <c r="X53" s="14"/>
      <c r="Z53" s="193"/>
    </row>
    <row r="54" spans="1:27" ht="26.1" customHeight="1" x14ac:dyDescent="0.25">
      <c r="A54" s="22"/>
      <c r="B54" s="23" t="s">
        <v>45</v>
      </c>
      <c r="C54" s="24" t="s">
        <v>142</v>
      </c>
      <c r="D54" s="115" t="s">
        <v>143</v>
      </c>
      <c r="E54" s="59" t="s">
        <v>33</v>
      </c>
      <c r="F54" s="32"/>
      <c r="G54" s="32"/>
      <c r="H54" s="36"/>
      <c r="I54" s="32">
        <v>29</v>
      </c>
      <c r="J54" s="32">
        <v>75</v>
      </c>
      <c r="K54" s="33">
        <v>195.8</v>
      </c>
      <c r="L54" s="60" t="s">
        <v>7</v>
      </c>
      <c r="M54" s="116"/>
      <c r="N54" s="33">
        <f>K54</f>
        <v>195.8</v>
      </c>
      <c r="O54" s="33"/>
      <c r="P54" s="35">
        <f t="shared" si="1"/>
        <v>195.8</v>
      </c>
      <c r="Q54" s="61" t="str">
        <f t="shared" si="7"/>
        <v>LUC</v>
      </c>
      <c r="R54" s="33">
        <v>0</v>
      </c>
      <c r="S54" s="33">
        <f t="shared" si="13"/>
        <v>195.8</v>
      </c>
      <c r="T54" s="33"/>
      <c r="U54" s="140">
        <f t="shared" si="14"/>
        <v>0</v>
      </c>
      <c r="V54" s="15"/>
      <c r="W54" s="30">
        <f t="shared" si="12"/>
        <v>195.8</v>
      </c>
      <c r="X54" s="14"/>
      <c r="Z54" s="193"/>
    </row>
    <row r="55" spans="1:27" ht="60" customHeight="1" x14ac:dyDescent="0.25">
      <c r="A55" s="22"/>
      <c r="B55" s="23" t="s">
        <v>45</v>
      </c>
      <c r="C55" s="24" t="s">
        <v>142</v>
      </c>
      <c r="D55" s="115" t="s">
        <v>143</v>
      </c>
      <c r="E55" s="59" t="s">
        <v>33</v>
      </c>
      <c r="F55" s="32">
        <v>5</v>
      </c>
      <c r="G55" s="32">
        <v>64</v>
      </c>
      <c r="H55" s="36">
        <v>540</v>
      </c>
      <c r="I55" s="32">
        <v>29</v>
      </c>
      <c r="J55" s="32">
        <v>80</v>
      </c>
      <c r="K55" s="33">
        <v>773</v>
      </c>
      <c r="L55" s="60" t="s">
        <v>7</v>
      </c>
      <c r="M55" s="116"/>
      <c r="N55" s="33">
        <v>316.3</v>
      </c>
      <c r="O55" s="33"/>
      <c r="P55" s="35">
        <f t="shared" si="1"/>
        <v>316.3</v>
      </c>
      <c r="Q55" s="61" t="str">
        <f t="shared" si="7"/>
        <v>LUC</v>
      </c>
      <c r="R55" s="33">
        <v>316.3</v>
      </c>
      <c r="S55" s="33">
        <f t="shared" si="13"/>
        <v>0</v>
      </c>
      <c r="T55" s="33"/>
      <c r="U55" s="140">
        <f t="shared" si="14"/>
        <v>456.7</v>
      </c>
      <c r="V55" s="15" t="s">
        <v>289</v>
      </c>
      <c r="W55" s="30">
        <f t="shared" si="12"/>
        <v>233</v>
      </c>
      <c r="X55" s="14"/>
      <c r="Z55" s="193"/>
      <c r="AA55" s="202"/>
    </row>
    <row r="56" spans="1:27" ht="26.1" customHeight="1" x14ac:dyDescent="0.25">
      <c r="A56" s="22">
        <v>18</v>
      </c>
      <c r="B56" s="23" t="s">
        <v>10</v>
      </c>
      <c r="C56" s="24" t="s">
        <v>144</v>
      </c>
      <c r="D56" s="115" t="s">
        <v>145</v>
      </c>
      <c r="E56" s="59" t="s">
        <v>33</v>
      </c>
      <c r="F56" s="560">
        <v>5</v>
      </c>
      <c r="G56" s="560">
        <v>39</v>
      </c>
      <c r="H56" s="576">
        <v>1464</v>
      </c>
      <c r="I56" s="32">
        <v>29</v>
      </c>
      <c r="J56" s="32">
        <v>28</v>
      </c>
      <c r="K56" s="33">
        <v>981.9</v>
      </c>
      <c r="L56" s="60" t="s">
        <v>7</v>
      </c>
      <c r="M56" s="116"/>
      <c r="N56" s="33">
        <f>K56</f>
        <v>981.9</v>
      </c>
      <c r="O56" s="33"/>
      <c r="P56" s="35">
        <f t="shared" si="1"/>
        <v>981.9</v>
      </c>
      <c r="Q56" s="61" t="str">
        <f t="shared" si="7"/>
        <v>LUC</v>
      </c>
      <c r="R56" s="33">
        <f>1464-360-360</f>
        <v>744</v>
      </c>
      <c r="S56" s="33">
        <f t="shared" si="13"/>
        <v>237.89999999999998</v>
      </c>
      <c r="T56" s="33"/>
      <c r="U56" s="140">
        <f t="shared" si="14"/>
        <v>0</v>
      </c>
      <c r="V56" s="15"/>
      <c r="W56" s="562">
        <f>K56+K57+K58-H56</f>
        <v>327.79999999999995</v>
      </c>
      <c r="X56" s="14"/>
      <c r="Z56" s="572"/>
    </row>
    <row r="57" spans="1:27" ht="26.1" customHeight="1" x14ac:dyDescent="0.25">
      <c r="A57" s="22"/>
      <c r="B57" s="23" t="s">
        <v>10</v>
      </c>
      <c r="C57" s="24" t="s">
        <v>144</v>
      </c>
      <c r="D57" s="115" t="s">
        <v>145</v>
      </c>
      <c r="E57" s="59" t="s">
        <v>33</v>
      </c>
      <c r="F57" s="560"/>
      <c r="G57" s="560"/>
      <c r="H57" s="576"/>
      <c r="I57" s="32">
        <v>29</v>
      </c>
      <c r="J57" s="32">
        <v>25</v>
      </c>
      <c r="K57" s="203">
        <v>388.7</v>
      </c>
      <c r="L57" s="131" t="s">
        <v>7</v>
      </c>
      <c r="M57" s="116"/>
      <c r="N57" s="203">
        <f>K57</f>
        <v>388.7</v>
      </c>
      <c r="O57" s="203"/>
      <c r="P57" s="204">
        <f t="shared" si="1"/>
        <v>388.7</v>
      </c>
      <c r="Q57" s="205" t="str">
        <f t="shared" si="7"/>
        <v>LUC</v>
      </c>
      <c r="R57" s="33">
        <v>360</v>
      </c>
      <c r="S57" s="33">
        <f t="shared" si="13"/>
        <v>28.699999999999989</v>
      </c>
      <c r="T57" s="33"/>
      <c r="U57" s="140">
        <v>0</v>
      </c>
      <c r="V57" s="15"/>
      <c r="W57" s="562"/>
      <c r="X57" s="14"/>
      <c r="Z57" s="572"/>
    </row>
    <row r="58" spans="1:27" ht="26.1" customHeight="1" x14ac:dyDescent="0.25">
      <c r="A58" s="22"/>
      <c r="B58" s="23" t="s">
        <v>10</v>
      </c>
      <c r="C58" s="24" t="s">
        <v>144</v>
      </c>
      <c r="D58" s="115" t="s">
        <v>145</v>
      </c>
      <c r="E58" s="59" t="s">
        <v>33</v>
      </c>
      <c r="F58" s="560"/>
      <c r="G58" s="560"/>
      <c r="H58" s="576"/>
      <c r="I58" s="32">
        <v>29</v>
      </c>
      <c r="J58" s="32">
        <v>24</v>
      </c>
      <c r="K58" s="33">
        <v>421.2</v>
      </c>
      <c r="L58" s="60" t="s">
        <v>7</v>
      </c>
      <c r="M58" s="116"/>
      <c r="N58" s="33">
        <f>K58</f>
        <v>421.2</v>
      </c>
      <c r="O58" s="33"/>
      <c r="P58" s="35">
        <f t="shared" si="1"/>
        <v>421.2</v>
      </c>
      <c r="Q58" s="61" t="str">
        <f t="shared" si="7"/>
        <v>LUC</v>
      </c>
      <c r="R58" s="33">
        <v>360</v>
      </c>
      <c r="S58" s="33">
        <f t="shared" si="13"/>
        <v>61.199999999999989</v>
      </c>
      <c r="T58" s="33"/>
      <c r="U58" s="140">
        <v>0</v>
      </c>
      <c r="V58" s="15"/>
      <c r="W58" s="562"/>
      <c r="X58" s="14"/>
      <c r="Z58" s="572"/>
    </row>
    <row r="59" spans="1:27" x14ac:dyDescent="0.25">
      <c r="A59" s="22"/>
      <c r="B59" s="23" t="s">
        <v>10</v>
      </c>
      <c r="C59" s="24" t="s">
        <v>144</v>
      </c>
      <c r="D59" s="115" t="s">
        <v>145</v>
      </c>
      <c r="E59" s="59" t="s">
        <v>33</v>
      </c>
      <c r="F59" s="32">
        <v>5</v>
      </c>
      <c r="G59" s="32">
        <v>46</v>
      </c>
      <c r="H59" s="136">
        <v>1200</v>
      </c>
      <c r="I59" s="32">
        <v>28</v>
      </c>
      <c r="J59" s="32">
        <v>857</v>
      </c>
      <c r="K59" s="33">
        <v>1361</v>
      </c>
      <c r="L59" s="60" t="s">
        <v>7</v>
      </c>
      <c r="M59" s="116"/>
      <c r="N59" s="33">
        <v>892.6</v>
      </c>
      <c r="O59" s="33"/>
      <c r="P59" s="35">
        <f t="shared" si="1"/>
        <v>892.6</v>
      </c>
      <c r="Q59" s="61" t="str">
        <f t="shared" si="7"/>
        <v>LUC</v>
      </c>
      <c r="R59" s="33">
        <v>892.6</v>
      </c>
      <c r="S59" s="33">
        <f t="shared" si="13"/>
        <v>0</v>
      </c>
      <c r="T59" s="33"/>
      <c r="U59" s="140">
        <f>K59-N59</f>
        <v>468.4</v>
      </c>
      <c r="V59" s="15"/>
      <c r="W59" s="30">
        <f t="shared" ref="W59:W88" si="15">K59-H59</f>
        <v>161</v>
      </c>
      <c r="X59" s="14"/>
      <c r="Z59" s="193"/>
    </row>
    <row r="60" spans="1:27" ht="26.1" customHeight="1" x14ac:dyDescent="0.25">
      <c r="A60" s="22">
        <v>19</v>
      </c>
      <c r="B60" s="23" t="s">
        <v>50</v>
      </c>
      <c r="C60" s="24" t="s">
        <v>9</v>
      </c>
      <c r="D60" s="115" t="s">
        <v>146</v>
      </c>
      <c r="E60" s="63" t="s">
        <v>230</v>
      </c>
      <c r="F60" s="32">
        <v>5</v>
      </c>
      <c r="G60" s="32">
        <v>44</v>
      </c>
      <c r="H60" s="36">
        <v>120</v>
      </c>
      <c r="I60" s="32">
        <v>29</v>
      </c>
      <c r="J60" s="32">
        <v>73</v>
      </c>
      <c r="K60" s="33">
        <v>213.5</v>
      </c>
      <c r="L60" s="60" t="s">
        <v>43</v>
      </c>
      <c r="M60" s="116"/>
      <c r="N60" s="33">
        <v>11.7</v>
      </c>
      <c r="O60" s="33"/>
      <c r="P60" s="35">
        <f t="shared" si="1"/>
        <v>11.7</v>
      </c>
      <c r="Q60" s="61" t="s">
        <v>86</v>
      </c>
      <c r="R60" s="33">
        <v>11.7</v>
      </c>
      <c r="S60" s="33">
        <f t="shared" si="13"/>
        <v>0</v>
      </c>
      <c r="T60" s="33"/>
      <c r="U60" s="140">
        <f>K60-N60</f>
        <v>201.8</v>
      </c>
      <c r="V60" s="17"/>
      <c r="W60" s="30">
        <f t="shared" si="15"/>
        <v>93.5</v>
      </c>
      <c r="X60" s="14"/>
      <c r="Z60" s="193"/>
    </row>
    <row r="61" spans="1:27" ht="26.1" customHeight="1" x14ac:dyDescent="0.25">
      <c r="A61" s="22"/>
      <c r="B61" s="23" t="s">
        <v>50</v>
      </c>
      <c r="C61" s="24" t="s">
        <v>9</v>
      </c>
      <c r="D61" s="115" t="s">
        <v>146</v>
      </c>
      <c r="E61" s="59" t="s">
        <v>33</v>
      </c>
      <c r="F61" s="32">
        <v>5</v>
      </c>
      <c r="G61" s="32">
        <v>45</v>
      </c>
      <c r="H61" s="36">
        <v>108</v>
      </c>
      <c r="I61" s="32">
        <v>29</v>
      </c>
      <c r="J61" s="32">
        <v>81</v>
      </c>
      <c r="K61" s="33">
        <v>223.5</v>
      </c>
      <c r="L61" s="60" t="s">
        <v>43</v>
      </c>
      <c r="M61" s="116"/>
      <c r="N61" s="33">
        <v>5.4</v>
      </c>
      <c r="O61" s="33"/>
      <c r="P61" s="35">
        <f t="shared" si="1"/>
        <v>5.4</v>
      </c>
      <c r="Q61" s="61" t="s">
        <v>86</v>
      </c>
      <c r="R61" s="33">
        <v>5.4</v>
      </c>
      <c r="S61" s="33">
        <f t="shared" si="13"/>
        <v>0</v>
      </c>
      <c r="T61" s="33"/>
      <c r="U61" s="140">
        <f>K61-N61</f>
        <v>218.1</v>
      </c>
      <c r="V61" s="15"/>
      <c r="W61" s="30">
        <f t="shared" si="15"/>
        <v>115.5</v>
      </c>
      <c r="X61" s="14"/>
      <c r="Z61" s="193"/>
    </row>
    <row r="62" spans="1:27" ht="38.25" x14ac:dyDescent="0.25">
      <c r="A62" s="22"/>
      <c r="B62" s="23" t="s">
        <v>50</v>
      </c>
      <c r="C62" s="24" t="s">
        <v>9</v>
      </c>
      <c r="D62" s="115" t="s">
        <v>146</v>
      </c>
      <c r="E62" s="59" t="s">
        <v>33</v>
      </c>
      <c r="F62" s="32">
        <v>5</v>
      </c>
      <c r="G62" s="32">
        <v>66</v>
      </c>
      <c r="H62" s="36">
        <v>360</v>
      </c>
      <c r="I62" s="32">
        <v>29</v>
      </c>
      <c r="J62" s="32">
        <v>35</v>
      </c>
      <c r="K62" s="33">
        <v>358.6</v>
      </c>
      <c r="L62" s="60" t="s">
        <v>7</v>
      </c>
      <c r="M62" s="116"/>
      <c r="N62" s="33">
        <f>K62</f>
        <v>358.6</v>
      </c>
      <c r="O62" s="33"/>
      <c r="P62" s="35">
        <f t="shared" si="1"/>
        <v>358.6</v>
      </c>
      <c r="Q62" s="61" t="str">
        <f t="shared" si="7"/>
        <v>LUC</v>
      </c>
      <c r="R62" s="33">
        <v>358.6</v>
      </c>
      <c r="S62" s="33">
        <f t="shared" si="13"/>
        <v>0</v>
      </c>
      <c r="T62" s="33"/>
      <c r="U62" s="140">
        <f>K62-N62</f>
        <v>0</v>
      </c>
      <c r="V62" s="62" t="s">
        <v>290</v>
      </c>
      <c r="W62" s="30">
        <f t="shared" si="15"/>
        <v>-1.3999999999999773</v>
      </c>
      <c r="X62" s="15" t="s">
        <v>147</v>
      </c>
      <c r="Y62" s="119"/>
      <c r="Z62" s="193"/>
    </row>
    <row r="63" spans="1:27" ht="60" x14ac:dyDescent="0.25">
      <c r="A63" s="22"/>
      <c r="B63" s="23" t="s">
        <v>50</v>
      </c>
      <c r="C63" s="24" t="s">
        <v>9</v>
      </c>
      <c r="D63" s="115" t="s">
        <v>146</v>
      </c>
      <c r="E63" s="59" t="s">
        <v>39</v>
      </c>
      <c r="F63" s="32">
        <v>5</v>
      </c>
      <c r="G63" s="32">
        <v>113</v>
      </c>
      <c r="H63" s="36">
        <v>648</v>
      </c>
      <c r="I63" s="32">
        <v>28</v>
      </c>
      <c r="J63" s="32">
        <v>686</v>
      </c>
      <c r="K63" s="33">
        <v>728.9</v>
      </c>
      <c r="L63" s="60" t="s">
        <v>7</v>
      </c>
      <c r="M63" s="116">
        <v>298.39999999999998</v>
      </c>
      <c r="N63" s="33">
        <f>728.9-298.4</f>
        <v>430.5</v>
      </c>
      <c r="O63" s="33"/>
      <c r="P63" s="35">
        <f t="shared" si="1"/>
        <v>430.5</v>
      </c>
      <c r="Q63" s="61" t="str">
        <f t="shared" si="7"/>
        <v>LUC</v>
      </c>
      <c r="R63" s="33">
        <f>648-298.4</f>
        <v>349.6</v>
      </c>
      <c r="S63" s="33">
        <f t="shared" si="13"/>
        <v>80.899999999999977</v>
      </c>
      <c r="T63" s="33"/>
      <c r="U63" s="140">
        <v>0</v>
      </c>
      <c r="V63" s="198" t="s">
        <v>291</v>
      </c>
      <c r="W63" s="30">
        <f t="shared" si="15"/>
        <v>80.899999999999977</v>
      </c>
      <c r="X63" s="14"/>
      <c r="Z63" s="193"/>
    </row>
    <row r="64" spans="1:27" ht="39" customHeight="1" x14ac:dyDescent="0.25">
      <c r="A64" s="22"/>
      <c r="B64" s="23" t="s">
        <v>50</v>
      </c>
      <c r="C64" s="24" t="s">
        <v>9</v>
      </c>
      <c r="D64" s="115" t="s">
        <v>146</v>
      </c>
      <c r="E64" s="59" t="s">
        <v>33</v>
      </c>
      <c r="F64" s="32">
        <v>5</v>
      </c>
      <c r="G64" s="32">
        <v>33</v>
      </c>
      <c r="H64" s="36">
        <v>360</v>
      </c>
      <c r="I64" s="32">
        <v>29</v>
      </c>
      <c r="J64" s="32">
        <v>29</v>
      </c>
      <c r="K64" s="33">
        <v>671.3</v>
      </c>
      <c r="L64" s="60" t="s">
        <v>7</v>
      </c>
      <c r="M64" s="116"/>
      <c r="N64" s="203">
        <v>671.3</v>
      </c>
      <c r="O64" s="33"/>
      <c r="P64" s="35">
        <f>N64</f>
        <v>671.3</v>
      </c>
      <c r="Q64" s="61" t="str">
        <f t="shared" si="7"/>
        <v>LUC</v>
      </c>
      <c r="R64" s="33">
        <v>360</v>
      </c>
      <c r="S64" s="33"/>
      <c r="T64" s="33">
        <f>K64-R64</f>
        <v>311.29999999999995</v>
      </c>
      <c r="U64" s="140">
        <f t="shared" ref="U64:U76" si="16">K64-N64</f>
        <v>0</v>
      </c>
      <c r="V64" s="206" t="s">
        <v>292</v>
      </c>
      <c r="W64" s="207">
        <f t="shared" si="15"/>
        <v>311.29999999999995</v>
      </c>
      <c r="X64" s="14"/>
      <c r="Z64" s="193"/>
    </row>
    <row r="65" spans="1:27" ht="26.1" customHeight="1" x14ac:dyDescent="0.25">
      <c r="A65" s="22">
        <v>20</v>
      </c>
      <c r="B65" s="23" t="s">
        <v>49</v>
      </c>
      <c r="C65" s="24" t="s">
        <v>149</v>
      </c>
      <c r="D65" s="115" t="s">
        <v>150</v>
      </c>
      <c r="E65" s="59" t="s">
        <v>44</v>
      </c>
      <c r="F65" s="32">
        <v>5</v>
      </c>
      <c r="G65" s="208">
        <v>31</v>
      </c>
      <c r="H65" s="36">
        <v>120</v>
      </c>
      <c r="I65" s="32">
        <v>28</v>
      </c>
      <c r="J65" s="32">
        <v>536</v>
      </c>
      <c r="K65" s="33">
        <v>124.4</v>
      </c>
      <c r="L65" s="60" t="s">
        <v>48</v>
      </c>
      <c r="M65" s="116"/>
      <c r="N65" s="33">
        <f t="shared" ref="N65:N76" si="17">K65</f>
        <v>124.4</v>
      </c>
      <c r="O65" s="33"/>
      <c r="P65" s="35">
        <f t="shared" si="1"/>
        <v>124.4</v>
      </c>
      <c r="Q65" s="61" t="str">
        <f t="shared" si="7"/>
        <v>LUK</v>
      </c>
      <c r="R65" s="33">
        <v>120</v>
      </c>
      <c r="S65" s="33">
        <f t="shared" ref="S65:S70" si="18">P65-R65</f>
        <v>4.4000000000000057</v>
      </c>
      <c r="T65" s="33"/>
      <c r="U65" s="140">
        <f t="shared" si="16"/>
        <v>0</v>
      </c>
      <c r="V65" s="15" t="s">
        <v>293</v>
      </c>
      <c r="W65" s="30">
        <f t="shared" si="15"/>
        <v>4.4000000000000057</v>
      </c>
      <c r="X65" s="14" t="s">
        <v>151</v>
      </c>
      <c r="Y65" s="209"/>
      <c r="Z65" s="193"/>
    </row>
    <row r="66" spans="1:27" ht="27.95" customHeight="1" x14ac:dyDescent="0.25">
      <c r="A66" s="22">
        <v>21</v>
      </c>
      <c r="B66" s="23" t="s">
        <v>41</v>
      </c>
      <c r="C66" s="24" t="s">
        <v>297</v>
      </c>
      <c r="D66" s="115" t="s">
        <v>298</v>
      </c>
      <c r="E66" s="59" t="s">
        <v>33</v>
      </c>
      <c r="F66" s="32">
        <v>5</v>
      </c>
      <c r="G66" s="32">
        <v>68</v>
      </c>
      <c r="H66" s="36">
        <v>780</v>
      </c>
      <c r="I66" s="32">
        <v>29</v>
      </c>
      <c r="J66" s="32">
        <v>21</v>
      </c>
      <c r="K66" s="33">
        <v>1363.6</v>
      </c>
      <c r="L66" s="60" t="s">
        <v>7</v>
      </c>
      <c r="M66" s="137"/>
      <c r="N66" s="33">
        <f>K66</f>
        <v>1363.6</v>
      </c>
      <c r="O66" s="33"/>
      <c r="P66" s="35">
        <f>N66</f>
        <v>1363.6</v>
      </c>
      <c r="Q66" s="61" t="str">
        <f>L66</f>
        <v>LUC</v>
      </c>
      <c r="R66" s="33">
        <v>780</v>
      </c>
      <c r="S66" s="33">
        <f t="shared" si="18"/>
        <v>583.59999999999991</v>
      </c>
      <c r="T66" s="33"/>
      <c r="U66" s="140">
        <f>K66-N66</f>
        <v>0</v>
      </c>
      <c r="V66" s="138" t="s">
        <v>177</v>
      </c>
      <c r="W66" s="30">
        <f>K66-H66</f>
        <v>583.59999999999991</v>
      </c>
      <c r="X66" s="139">
        <f>780+420</f>
        <v>1200</v>
      </c>
      <c r="Z66" s="193"/>
      <c r="AA66" s="193"/>
    </row>
    <row r="67" spans="1:27" ht="27.95" customHeight="1" x14ac:dyDescent="0.25">
      <c r="A67" s="22"/>
      <c r="B67" s="23" t="s">
        <v>41</v>
      </c>
      <c r="C67" s="24" t="s">
        <v>297</v>
      </c>
      <c r="D67" s="115" t="s">
        <v>298</v>
      </c>
      <c r="E67" s="59" t="s">
        <v>33</v>
      </c>
      <c r="F67" s="32" t="s">
        <v>40</v>
      </c>
      <c r="G67" s="32"/>
      <c r="H67" s="36">
        <v>192</v>
      </c>
      <c r="I67" s="32">
        <v>29</v>
      </c>
      <c r="J67" s="32">
        <v>42</v>
      </c>
      <c r="K67" s="33">
        <v>257.8</v>
      </c>
      <c r="L67" s="60" t="s">
        <v>7</v>
      </c>
      <c r="M67" s="116"/>
      <c r="N67" s="33">
        <f>K67</f>
        <v>257.8</v>
      </c>
      <c r="O67" s="33"/>
      <c r="P67" s="35">
        <f>N67</f>
        <v>257.8</v>
      </c>
      <c r="Q67" s="61" t="str">
        <f>L67</f>
        <v>LUC</v>
      </c>
      <c r="R67" s="33">
        <v>0</v>
      </c>
      <c r="S67" s="33">
        <f t="shared" si="18"/>
        <v>257.8</v>
      </c>
      <c r="T67" s="33"/>
      <c r="U67" s="140">
        <f>K67-N67</f>
        <v>0</v>
      </c>
      <c r="V67" s="17" t="s">
        <v>178</v>
      </c>
      <c r="W67" s="30">
        <f>K67-H67</f>
        <v>65.800000000000011</v>
      </c>
      <c r="X67" s="139"/>
      <c r="Z67" s="193"/>
    </row>
    <row r="68" spans="1:27" ht="27.95" customHeight="1" x14ac:dyDescent="0.25">
      <c r="A68" s="22"/>
      <c r="B68" s="23" t="s">
        <v>41</v>
      </c>
      <c r="C68" s="24" t="s">
        <v>297</v>
      </c>
      <c r="D68" s="115" t="s">
        <v>298</v>
      </c>
      <c r="E68" s="59" t="s">
        <v>33</v>
      </c>
      <c r="F68" s="32">
        <v>5</v>
      </c>
      <c r="G68" s="32">
        <v>33</v>
      </c>
      <c r="H68" s="36">
        <v>120</v>
      </c>
      <c r="I68" s="32">
        <v>29</v>
      </c>
      <c r="J68" s="32">
        <v>53</v>
      </c>
      <c r="K68" s="33">
        <v>189.7</v>
      </c>
      <c r="L68" s="60" t="s">
        <v>7</v>
      </c>
      <c r="M68" s="116"/>
      <c r="N68" s="33">
        <v>170.4</v>
      </c>
      <c r="O68" s="375">
        <v>19.3</v>
      </c>
      <c r="P68" s="376">
        <f>N68+O68</f>
        <v>189.70000000000002</v>
      </c>
      <c r="Q68" s="377" t="str">
        <f>L68</f>
        <v>LUC</v>
      </c>
      <c r="R68" s="375">
        <v>120</v>
      </c>
      <c r="S68" s="375">
        <f t="shared" si="18"/>
        <v>69.700000000000017</v>
      </c>
      <c r="T68" s="33"/>
      <c r="U68" s="140"/>
      <c r="V68" s="17" t="s">
        <v>179</v>
      </c>
      <c r="W68" s="30">
        <f>K68-H68</f>
        <v>69.699999999999989</v>
      </c>
      <c r="X68" s="139"/>
      <c r="Z68" s="193"/>
      <c r="AA68" s="202"/>
    </row>
    <row r="69" spans="1:27" ht="63" customHeight="1" x14ac:dyDescent="0.25">
      <c r="A69" s="22"/>
      <c r="B69" s="23" t="s">
        <v>41</v>
      </c>
      <c r="C69" s="24" t="s">
        <v>297</v>
      </c>
      <c r="D69" s="115" t="s">
        <v>298</v>
      </c>
      <c r="E69" s="59" t="s">
        <v>44</v>
      </c>
      <c r="F69" s="32">
        <v>4</v>
      </c>
      <c r="G69" s="32">
        <v>211</v>
      </c>
      <c r="H69" s="36">
        <v>324</v>
      </c>
      <c r="I69" s="32">
        <v>28</v>
      </c>
      <c r="J69" s="32">
        <v>600</v>
      </c>
      <c r="K69" s="33">
        <v>358.1</v>
      </c>
      <c r="L69" s="60" t="s">
        <v>48</v>
      </c>
      <c r="M69" s="116">
        <v>241.6</v>
      </c>
      <c r="N69" s="33">
        <v>21.6</v>
      </c>
      <c r="O69" s="375">
        <f>K69-M69-N69</f>
        <v>94.900000000000034</v>
      </c>
      <c r="P69" s="376">
        <f>N69+O69</f>
        <v>116.50000000000003</v>
      </c>
      <c r="Q69" s="377" t="str">
        <f>L69</f>
        <v>LUK</v>
      </c>
      <c r="R69" s="375">
        <f>H69-M69</f>
        <v>82.4</v>
      </c>
      <c r="S69" s="421">
        <f t="shared" si="18"/>
        <v>34.100000000000023</v>
      </c>
      <c r="T69" s="33"/>
      <c r="U69" s="140"/>
      <c r="V69" s="198" t="s">
        <v>299</v>
      </c>
      <c r="W69" s="30">
        <f>K69-H69</f>
        <v>34.100000000000023</v>
      </c>
      <c r="X69" s="141" t="s">
        <v>180</v>
      </c>
      <c r="Z69" s="193"/>
    </row>
    <row r="70" spans="1:27" ht="60.75" customHeight="1" x14ac:dyDescent="0.25">
      <c r="A70" s="22"/>
      <c r="B70" s="23" t="s">
        <v>41</v>
      </c>
      <c r="C70" s="24" t="s">
        <v>297</v>
      </c>
      <c r="D70" s="115" t="s">
        <v>298</v>
      </c>
      <c r="E70" s="28" t="s">
        <v>38</v>
      </c>
      <c r="F70" s="32">
        <v>5</v>
      </c>
      <c r="G70" s="32">
        <v>136</v>
      </c>
      <c r="H70" s="36">
        <v>276</v>
      </c>
      <c r="I70" s="32">
        <v>28</v>
      </c>
      <c r="J70" s="32">
        <v>775</v>
      </c>
      <c r="K70" s="33">
        <v>313.10000000000002</v>
      </c>
      <c r="L70" s="60" t="s">
        <v>7</v>
      </c>
      <c r="M70" s="116">
        <v>37.6</v>
      </c>
      <c r="N70" s="33">
        <f>K70-M70</f>
        <v>275.5</v>
      </c>
      <c r="O70" s="33"/>
      <c r="P70" s="35">
        <f>N70</f>
        <v>275.5</v>
      </c>
      <c r="Q70" s="61" t="str">
        <f>L70</f>
        <v>LUC</v>
      </c>
      <c r="R70" s="33">
        <f>276-37.6</f>
        <v>238.4</v>
      </c>
      <c r="S70" s="33">
        <f t="shared" si="18"/>
        <v>37.099999999999994</v>
      </c>
      <c r="T70" s="33"/>
      <c r="U70" s="140">
        <f>K70-M70-N70</f>
        <v>0</v>
      </c>
      <c r="V70" s="198" t="s">
        <v>300</v>
      </c>
      <c r="W70" s="30">
        <f>K70-H70</f>
        <v>37.100000000000023</v>
      </c>
      <c r="X70" s="139"/>
      <c r="Z70" s="193"/>
    </row>
    <row r="71" spans="1:27" ht="26.1" customHeight="1" x14ac:dyDescent="0.25">
      <c r="A71" s="22">
        <v>22</v>
      </c>
      <c r="B71" s="23" t="s">
        <v>49</v>
      </c>
      <c r="C71" s="24" t="s">
        <v>152</v>
      </c>
      <c r="D71" s="115" t="s">
        <v>153</v>
      </c>
      <c r="E71" s="59" t="s">
        <v>33</v>
      </c>
      <c r="F71" s="32">
        <v>5</v>
      </c>
      <c r="G71" s="32">
        <v>65</v>
      </c>
      <c r="H71" s="36">
        <v>144</v>
      </c>
      <c r="I71" s="32">
        <v>29</v>
      </c>
      <c r="J71" s="32">
        <v>56</v>
      </c>
      <c r="K71" s="33">
        <v>142.5</v>
      </c>
      <c r="L71" s="60" t="s">
        <v>7</v>
      </c>
      <c r="M71" s="116"/>
      <c r="N71" s="33">
        <f t="shared" si="17"/>
        <v>142.5</v>
      </c>
      <c r="O71" s="33"/>
      <c r="P71" s="35">
        <f t="shared" si="1"/>
        <v>142.5</v>
      </c>
      <c r="Q71" s="61" t="str">
        <f t="shared" si="7"/>
        <v>LUC</v>
      </c>
      <c r="R71" s="33">
        <v>142.5</v>
      </c>
      <c r="S71" s="33">
        <f t="shared" ref="S71:S88" si="19">P71-R71</f>
        <v>0</v>
      </c>
      <c r="T71" s="33"/>
      <c r="U71" s="140">
        <f t="shared" si="16"/>
        <v>0</v>
      </c>
      <c r="V71" s="15"/>
      <c r="W71" s="30">
        <f t="shared" si="15"/>
        <v>-1.5</v>
      </c>
      <c r="X71" s="14"/>
      <c r="Z71" s="193"/>
    </row>
    <row r="72" spans="1:27" ht="26.1" customHeight="1" x14ac:dyDescent="0.25">
      <c r="A72" s="22"/>
      <c r="B72" s="23" t="s">
        <v>49</v>
      </c>
      <c r="C72" s="24" t="s">
        <v>152</v>
      </c>
      <c r="D72" s="123" t="s">
        <v>153</v>
      </c>
      <c r="E72" s="59" t="s">
        <v>33</v>
      </c>
      <c r="F72" s="32">
        <v>5</v>
      </c>
      <c r="G72" s="32">
        <v>103</v>
      </c>
      <c r="H72" s="36">
        <v>840</v>
      </c>
      <c r="I72" s="32">
        <v>28</v>
      </c>
      <c r="J72" s="32">
        <v>538</v>
      </c>
      <c r="K72" s="33">
        <v>863.1</v>
      </c>
      <c r="L72" s="60" t="s">
        <v>7</v>
      </c>
      <c r="M72" s="116"/>
      <c r="N72" s="33">
        <f t="shared" si="17"/>
        <v>863.1</v>
      </c>
      <c r="O72" s="33"/>
      <c r="P72" s="35">
        <f t="shared" si="1"/>
        <v>863.1</v>
      </c>
      <c r="Q72" s="61" t="str">
        <f t="shared" si="7"/>
        <v>LUC</v>
      </c>
      <c r="R72" s="33">
        <v>840</v>
      </c>
      <c r="S72" s="33">
        <f t="shared" si="19"/>
        <v>23.100000000000023</v>
      </c>
      <c r="T72" s="33"/>
      <c r="U72" s="140">
        <f t="shared" si="16"/>
        <v>0</v>
      </c>
      <c r="V72" s="15"/>
      <c r="W72" s="30">
        <f t="shared" si="15"/>
        <v>23.100000000000023</v>
      </c>
      <c r="X72" s="14"/>
      <c r="Z72" s="193"/>
    </row>
    <row r="73" spans="1:27" ht="35.25" customHeight="1" x14ac:dyDescent="0.25">
      <c r="A73" s="22"/>
      <c r="B73" s="23" t="s">
        <v>49</v>
      </c>
      <c r="C73" s="24" t="s">
        <v>152</v>
      </c>
      <c r="D73" s="123" t="s">
        <v>153</v>
      </c>
      <c r="E73" s="59" t="s">
        <v>44</v>
      </c>
      <c r="F73" s="32">
        <v>5</v>
      </c>
      <c r="G73" s="32">
        <v>131</v>
      </c>
      <c r="H73" s="36">
        <v>120</v>
      </c>
      <c r="I73" s="32">
        <v>28</v>
      </c>
      <c r="J73" s="32">
        <v>463</v>
      </c>
      <c r="K73" s="33">
        <v>132.9</v>
      </c>
      <c r="L73" s="60" t="s">
        <v>48</v>
      </c>
      <c r="M73" s="116"/>
      <c r="N73" s="33">
        <f t="shared" si="17"/>
        <v>132.9</v>
      </c>
      <c r="O73" s="33"/>
      <c r="P73" s="35">
        <f t="shared" si="1"/>
        <v>132.9</v>
      </c>
      <c r="Q73" s="61" t="str">
        <f t="shared" si="7"/>
        <v>LUK</v>
      </c>
      <c r="R73" s="33">
        <v>120</v>
      </c>
      <c r="S73" s="33">
        <f t="shared" si="19"/>
        <v>12.900000000000006</v>
      </c>
      <c r="T73" s="33"/>
      <c r="U73" s="140">
        <f t="shared" si="16"/>
        <v>0</v>
      </c>
      <c r="V73" s="15" t="s">
        <v>154</v>
      </c>
      <c r="W73" s="30">
        <f t="shared" si="15"/>
        <v>12.900000000000006</v>
      </c>
      <c r="X73" s="14"/>
      <c r="Z73" s="193"/>
    </row>
    <row r="74" spans="1:27" ht="25.5" x14ac:dyDescent="0.25">
      <c r="A74" s="22">
        <v>23</v>
      </c>
      <c r="B74" s="23" t="s">
        <v>10</v>
      </c>
      <c r="C74" s="24" t="s">
        <v>11</v>
      </c>
      <c r="D74" s="115" t="s">
        <v>155</v>
      </c>
      <c r="E74" s="59" t="s">
        <v>44</v>
      </c>
      <c r="F74" s="122" t="s">
        <v>40</v>
      </c>
      <c r="G74" s="122"/>
      <c r="H74" s="130">
        <v>60</v>
      </c>
      <c r="I74" s="32">
        <v>28</v>
      </c>
      <c r="J74" s="32">
        <v>613</v>
      </c>
      <c r="K74" s="33">
        <v>131.9</v>
      </c>
      <c r="L74" s="60" t="s">
        <v>7</v>
      </c>
      <c r="M74" s="116"/>
      <c r="N74" s="33">
        <f t="shared" si="17"/>
        <v>131.9</v>
      </c>
      <c r="O74" s="33"/>
      <c r="P74" s="35">
        <f t="shared" si="1"/>
        <v>131.9</v>
      </c>
      <c r="Q74" s="61" t="str">
        <f t="shared" si="7"/>
        <v>LUC</v>
      </c>
      <c r="R74" s="33"/>
      <c r="S74" s="33">
        <f t="shared" si="19"/>
        <v>131.9</v>
      </c>
      <c r="T74" s="33"/>
      <c r="U74" s="140">
        <f t="shared" si="16"/>
        <v>0</v>
      </c>
      <c r="V74" s="15" t="s">
        <v>156</v>
      </c>
      <c r="W74" s="30">
        <f t="shared" si="15"/>
        <v>71.900000000000006</v>
      </c>
      <c r="X74" s="14"/>
      <c r="Z74" s="193"/>
    </row>
    <row r="75" spans="1:27" x14ac:dyDescent="0.25">
      <c r="A75" s="22"/>
      <c r="B75" s="23" t="s">
        <v>10</v>
      </c>
      <c r="C75" s="24" t="s">
        <v>11</v>
      </c>
      <c r="D75" s="115" t="s">
        <v>155</v>
      </c>
      <c r="E75" s="59" t="s">
        <v>44</v>
      </c>
      <c r="F75" s="32">
        <v>5</v>
      </c>
      <c r="G75" s="32">
        <v>132</v>
      </c>
      <c r="H75" s="36">
        <v>360</v>
      </c>
      <c r="I75" s="32">
        <v>28</v>
      </c>
      <c r="J75" s="32">
        <v>605</v>
      </c>
      <c r="K75" s="33">
        <v>374.9</v>
      </c>
      <c r="L75" s="60" t="s">
        <v>48</v>
      </c>
      <c r="M75" s="116"/>
      <c r="N75" s="33">
        <f t="shared" si="17"/>
        <v>374.9</v>
      </c>
      <c r="O75" s="33"/>
      <c r="P75" s="35">
        <f t="shared" si="1"/>
        <v>374.9</v>
      </c>
      <c r="Q75" s="61" t="str">
        <f t="shared" si="7"/>
        <v>LUK</v>
      </c>
      <c r="R75" s="33">
        <v>360</v>
      </c>
      <c r="S75" s="33">
        <f t="shared" si="19"/>
        <v>14.899999999999977</v>
      </c>
      <c r="T75" s="33"/>
      <c r="U75" s="140">
        <f t="shared" si="16"/>
        <v>0</v>
      </c>
      <c r="V75" s="15"/>
      <c r="W75" s="30">
        <f t="shared" si="15"/>
        <v>14.899999999999977</v>
      </c>
      <c r="X75" s="14"/>
      <c r="Z75" s="193"/>
    </row>
    <row r="76" spans="1:27" ht="27.75" customHeight="1" x14ac:dyDescent="0.25">
      <c r="A76" s="22">
        <v>24</v>
      </c>
      <c r="B76" s="23" t="s">
        <v>32</v>
      </c>
      <c r="C76" s="24" t="s">
        <v>157</v>
      </c>
      <c r="D76" s="115" t="s">
        <v>158</v>
      </c>
      <c r="E76" s="28" t="s">
        <v>38</v>
      </c>
      <c r="F76" s="32">
        <v>5</v>
      </c>
      <c r="G76" s="32">
        <v>83</v>
      </c>
      <c r="H76" s="36">
        <v>144</v>
      </c>
      <c r="I76" s="32">
        <v>28</v>
      </c>
      <c r="J76" s="32">
        <v>786</v>
      </c>
      <c r="K76" s="33">
        <v>159.4</v>
      </c>
      <c r="L76" s="60" t="s">
        <v>43</v>
      </c>
      <c r="M76" s="116"/>
      <c r="N76" s="33">
        <f t="shared" si="17"/>
        <v>159.4</v>
      </c>
      <c r="O76" s="33"/>
      <c r="P76" s="35">
        <f t="shared" si="1"/>
        <v>159.4</v>
      </c>
      <c r="Q76" s="61" t="s">
        <v>86</v>
      </c>
      <c r="R76" s="33">
        <v>144</v>
      </c>
      <c r="S76" s="33">
        <f t="shared" si="19"/>
        <v>15.400000000000006</v>
      </c>
      <c r="T76" s="33"/>
      <c r="U76" s="140">
        <f t="shared" si="16"/>
        <v>0</v>
      </c>
      <c r="V76" s="15"/>
      <c r="W76" s="30">
        <f t="shared" si="15"/>
        <v>15.400000000000006</v>
      </c>
      <c r="X76" s="14"/>
      <c r="Z76" s="193"/>
    </row>
    <row r="77" spans="1:27" ht="60" x14ac:dyDescent="0.25">
      <c r="A77" s="22"/>
      <c r="B77" s="23" t="s">
        <v>32</v>
      </c>
      <c r="C77" s="24" t="s">
        <v>157</v>
      </c>
      <c r="D77" s="115" t="s">
        <v>158</v>
      </c>
      <c r="E77" s="28" t="s">
        <v>39</v>
      </c>
      <c r="F77" s="32">
        <v>5</v>
      </c>
      <c r="G77" s="32">
        <v>48</v>
      </c>
      <c r="H77" s="34">
        <v>360</v>
      </c>
      <c r="I77" s="32">
        <v>28</v>
      </c>
      <c r="J77" s="32">
        <v>721</v>
      </c>
      <c r="K77" s="33">
        <v>421.3</v>
      </c>
      <c r="L77" s="60" t="s">
        <v>7</v>
      </c>
      <c r="M77" s="130">
        <v>1</v>
      </c>
      <c r="N77" s="33">
        <f>421.3-M77</f>
        <v>420.3</v>
      </c>
      <c r="O77" s="33"/>
      <c r="P77" s="35">
        <f t="shared" si="1"/>
        <v>420.3</v>
      </c>
      <c r="Q77" s="61" t="str">
        <f t="shared" si="7"/>
        <v>LUC</v>
      </c>
      <c r="R77" s="33">
        <f>360-1</f>
        <v>359</v>
      </c>
      <c r="S77" s="33">
        <f t="shared" si="19"/>
        <v>61.300000000000011</v>
      </c>
      <c r="T77" s="33"/>
      <c r="U77" s="140"/>
      <c r="V77" s="198" t="s">
        <v>294</v>
      </c>
      <c r="W77" s="30">
        <f t="shared" si="15"/>
        <v>61.300000000000011</v>
      </c>
      <c r="X77" s="16"/>
      <c r="Z77" s="193"/>
    </row>
    <row r="78" spans="1:27" ht="27.95" customHeight="1" x14ac:dyDescent="0.25">
      <c r="A78" s="22"/>
      <c r="B78" s="23" t="s">
        <v>32</v>
      </c>
      <c r="C78" s="24" t="s">
        <v>157</v>
      </c>
      <c r="D78" s="115" t="s">
        <v>158</v>
      </c>
      <c r="E78" s="28" t="s">
        <v>38</v>
      </c>
      <c r="F78" s="32">
        <v>5</v>
      </c>
      <c r="G78" s="32">
        <v>136</v>
      </c>
      <c r="H78" s="34">
        <v>168</v>
      </c>
      <c r="I78" s="32">
        <v>28</v>
      </c>
      <c r="J78" s="32">
        <v>776</v>
      </c>
      <c r="K78" s="33">
        <v>184</v>
      </c>
      <c r="L78" s="60" t="s">
        <v>7</v>
      </c>
      <c r="M78" s="116"/>
      <c r="N78" s="33">
        <f>K78</f>
        <v>184</v>
      </c>
      <c r="O78" s="33"/>
      <c r="P78" s="35">
        <f t="shared" si="1"/>
        <v>184</v>
      </c>
      <c r="Q78" s="61" t="str">
        <f t="shared" si="7"/>
        <v>LUC</v>
      </c>
      <c r="R78" s="33">
        <v>168</v>
      </c>
      <c r="S78" s="33">
        <f t="shared" si="19"/>
        <v>16</v>
      </c>
      <c r="T78" s="33"/>
      <c r="U78" s="140">
        <f t="shared" ref="U78:U88" si="20">K78-N78</f>
        <v>0</v>
      </c>
      <c r="V78" s="17"/>
      <c r="W78" s="30">
        <f t="shared" si="15"/>
        <v>16</v>
      </c>
      <c r="X78" s="16"/>
      <c r="Z78" s="193"/>
    </row>
    <row r="79" spans="1:27" ht="27.95" customHeight="1" x14ac:dyDescent="0.25">
      <c r="A79" s="22">
        <v>25</v>
      </c>
      <c r="B79" s="23" t="s">
        <v>121</v>
      </c>
      <c r="C79" s="24" t="s">
        <v>160</v>
      </c>
      <c r="D79" s="115" t="s">
        <v>161</v>
      </c>
      <c r="E79" s="59" t="s">
        <v>33</v>
      </c>
      <c r="F79" s="32">
        <v>5</v>
      </c>
      <c r="G79" s="32">
        <v>75</v>
      </c>
      <c r="H79" s="36">
        <v>144</v>
      </c>
      <c r="I79" s="32">
        <v>29</v>
      </c>
      <c r="J79" s="32">
        <v>62</v>
      </c>
      <c r="K79" s="33">
        <v>143.6</v>
      </c>
      <c r="L79" s="60" t="s">
        <v>7</v>
      </c>
      <c r="M79" s="116"/>
      <c r="N79" s="33">
        <v>5.6</v>
      </c>
      <c r="O79" s="33"/>
      <c r="P79" s="35">
        <f t="shared" si="1"/>
        <v>5.6</v>
      </c>
      <c r="Q79" s="61" t="str">
        <f t="shared" si="7"/>
        <v>LUC</v>
      </c>
      <c r="R79" s="33">
        <v>5.6</v>
      </c>
      <c r="S79" s="33">
        <f t="shared" si="19"/>
        <v>0</v>
      </c>
      <c r="T79" s="33"/>
      <c r="U79" s="140">
        <f t="shared" si="20"/>
        <v>138</v>
      </c>
      <c r="V79" s="15" t="s">
        <v>162</v>
      </c>
      <c r="W79" s="30">
        <f t="shared" si="15"/>
        <v>-0.40000000000000568</v>
      </c>
      <c r="X79" s="14" t="s">
        <v>163</v>
      </c>
      <c r="Z79" s="193"/>
    </row>
    <row r="80" spans="1:27" ht="27.95" customHeight="1" x14ac:dyDescent="0.25">
      <c r="A80" s="22"/>
      <c r="B80" s="23" t="s">
        <v>41</v>
      </c>
      <c r="C80" s="24" t="s">
        <v>160</v>
      </c>
      <c r="D80" s="115" t="s">
        <v>161</v>
      </c>
      <c r="E80" s="59" t="s">
        <v>39</v>
      </c>
      <c r="F80" s="32">
        <v>5</v>
      </c>
      <c r="G80" s="32">
        <v>98</v>
      </c>
      <c r="H80" s="34">
        <v>360</v>
      </c>
      <c r="I80" s="32">
        <v>28</v>
      </c>
      <c r="J80" s="32">
        <v>674</v>
      </c>
      <c r="K80" s="33">
        <v>441.3</v>
      </c>
      <c r="L80" s="60" t="s">
        <v>7</v>
      </c>
      <c r="M80" s="116"/>
      <c r="N80" s="33">
        <f>K80</f>
        <v>441.3</v>
      </c>
      <c r="O80" s="33"/>
      <c r="P80" s="35">
        <f t="shared" si="1"/>
        <v>441.3</v>
      </c>
      <c r="Q80" s="61" t="str">
        <f t="shared" si="7"/>
        <v>LUC</v>
      </c>
      <c r="R80" s="33">
        <v>360</v>
      </c>
      <c r="S80" s="33">
        <f t="shared" si="19"/>
        <v>81.300000000000011</v>
      </c>
      <c r="T80" s="33"/>
      <c r="U80" s="140">
        <f t="shared" si="20"/>
        <v>0</v>
      </c>
      <c r="V80" s="15"/>
      <c r="W80" s="30">
        <f t="shared" si="15"/>
        <v>81.300000000000011</v>
      </c>
      <c r="X80" s="14"/>
      <c r="Z80" s="193"/>
    </row>
    <row r="81" spans="1:27" ht="27.95" customHeight="1" x14ac:dyDescent="0.25">
      <c r="A81" s="22"/>
      <c r="B81" s="23" t="s">
        <v>41</v>
      </c>
      <c r="C81" s="24" t="s">
        <v>160</v>
      </c>
      <c r="D81" s="115" t="s">
        <v>161</v>
      </c>
      <c r="E81" s="28" t="s">
        <v>295</v>
      </c>
      <c r="F81" s="32">
        <v>5</v>
      </c>
      <c r="G81" s="32" t="s">
        <v>239</v>
      </c>
      <c r="H81" s="34">
        <v>216</v>
      </c>
      <c r="I81" s="32">
        <v>29</v>
      </c>
      <c r="J81" s="32">
        <v>11</v>
      </c>
      <c r="K81" s="33">
        <v>248.2</v>
      </c>
      <c r="L81" s="60" t="s">
        <v>48</v>
      </c>
      <c r="M81" s="130"/>
      <c r="N81" s="33">
        <v>141.1</v>
      </c>
      <c r="O81" s="33"/>
      <c r="P81" s="35">
        <f t="shared" si="1"/>
        <v>141.1</v>
      </c>
      <c r="Q81" s="61" t="str">
        <f t="shared" si="7"/>
        <v>LUK</v>
      </c>
      <c r="R81" s="33">
        <v>141.1</v>
      </c>
      <c r="S81" s="33">
        <f t="shared" si="19"/>
        <v>0</v>
      </c>
      <c r="T81" s="33"/>
      <c r="U81" s="140">
        <f t="shared" si="20"/>
        <v>107.1</v>
      </c>
      <c r="V81" s="15" t="s">
        <v>164</v>
      </c>
      <c r="W81" s="30">
        <f t="shared" si="15"/>
        <v>32.199999999999989</v>
      </c>
      <c r="X81" s="14"/>
      <c r="Z81" s="193"/>
    </row>
    <row r="82" spans="1:27" ht="27.95" customHeight="1" x14ac:dyDescent="0.25">
      <c r="A82" s="22"/>
      <c r="B82" s="23" t="s">
        <v>41</v>
      </c>
      <c r="C82" s="24" t="s">
        <v>160</v>
      </c>
      <c r="D82" s="115" t="s">
        <v>161</v>
      </c>
      <c r="E82" s="28" t="s">
        <v>295</v>
      </c>
      <c r="F82" s="32">
        <v>5</v>
      </c>
      <c r="G82" s="32">
        <v>75</v>
      </c>
      <c r="H82" s="36">
        <v>144</v>
      </c>
      <c r="I82" s="32">
        <v>29</v>
      </c>
      <c r="J82" s="32">
        <v>10</v>
      </c>
      <c r="K82" s="33">
        <v>184.3</v>
      </c>
      <c r="L82" s="60" t="s">
        <v>48</v>
      </c>
      <c r="M82" s="130"/>
      <c r="N82" s="33">
        <f t="shared" ref="N82:N88" si="21">K82</f>
        <v>184.3</v>
      </c>
      <c r="O82" s="33"/>
      <c r="P82" s="35">
        <f t="shared" si="1"/>
        <v>184.3</v>
      </c>
      <c r="Q82" s="61" t="str">
        <f t="shared" si="7"/>
        <v>LUK</v>
      </c>
      <c r="R82" s="33">
        <v>144</v>
      </c>
      <c r="S82" s="33">
        <f t="shared" si="19"/>
        <v>40.300000000000011</v>
      </c>
      <c r="T82" s="33"/>
      <c r="U82" s="140">
        <f t="shared" si="20"/>
        <v>0</v>
      </c>
      <c r="V82" s="15" t="s">
        <v>165</v>
      </c>
      <c r="W82" s="30">
        <f t="shared" si="15"/>
        <v>40.300000000000011</v>
      </c>
      <c r="X82" s="14"/>
      <c r="Z82" s="193"/>
    </row>
    <row r="83" spans="1:27" ht="27.95" customHeight="1" x14ac:dyDescent="0.25">
      <c r="A83" s="22">
        <v>26</v>
      </c>
      <c r="B83" s="23" t="s">
        <v>37</v>
      </c>
      <c r="C83" s="24" t="s">
        <v>166</v>
      </c>
      <c r="D83" s="115" t="s">
        <v>167</v>
      </c>
      <c r="E83" s="59" t="s">
        <v>33</v>
      </c>
      <c r="F83" s="32">
        <v>5</v>
      </c>
      <c r="G83" s="32">
        <v>39</v>
      </c>
      <c r="H83" s="36">
        <v>456</v>
      </c>
      <c r="I83" s="32">
        <v>29</v>
      </c>
      <c r="J83" s="32">
        <v>12</v>
      </c>
      <c r="K83" s="33">
        <v>516.29999999999995</v>
      </c>
      <c r="L83" s="60" t="s">
        <v>7</v>
      </c>
      <c r="M83" s="130"/>
      <c r="N83" s="33">
        <f>K83</f>
        <v>516.29999999999995</v>
      </c>
      <c r="O83" s="33"/>
      <c r="P83" s="35">
        <f>N83</f>
        <v>516.29999999999995</v>
      </c>
      <c r="Q83" s="61" t="str">
        <f>L83</f>
        <v>LUC</v>
      </c>
      <c r="R83" s="33">
        <v>456</v>
      </c>
      <c r="S83" s="33">
        <f>P83-R83</f>
        <v>60.299999999999955</v>
      </c>
      <c r="T83" s="33"/>
      <c r="U83" s="140">
        <f>K83-N83</f>
        <v>0</v>
      </c>
      <c r="V83" s="15"/>
      <c r="W83" s="30">
        <f>K83-H83</f>
        <v>60.299999999999955</v>
      </c>
      <c r="X83" s="14"/>
      <c r="Z83" s="193"/>
    </row>
    <row r="84" spans="1:27" ht="27.95" customHeight="1" x14ac:dyDescent="0.25">
      <c r="A84" s="22"/>
      <c r="B84" s="23" t="s">
        <v>37</v>
      </c>
      <c r="C84" s="24" t="s">
        <v>166</v>
      </c>
      <c r="D84" s="123" t="s">
        <v>167</v>
      </c>
      <c r="E84" s="59" t="s">
        <v>33</v>
      </c>
      <c r="F84" s="32">
        <v>5</v>
      </c>
      <c r="G84" s="32">
        <v>40</v>
      </c>
      <c r="H84" s="36">
        <v>360</v>
      </c>
      <c r="I84" s="32">
        <v>29</v>
      </c>
      <c r="J84" s="32">
        <v>37</v>
      </c>
      <c r="K84" s="33">
        <v>370.1</v>
      </c>
      <c r="L84" s="60" t="s">
        <v>7</v>
      </c>
      <c r="M84" s="116"/>
      <c r="N84" s="33">
        <f>K84</f>
        <v>370.1</v>
      </c>
      <c r="O84" s="33"/>
      <c r="P84" s="35">
        <f>N84</f>
        <v>370.1</v>
      </c>
      <c r="Q84" s="61" t="str">
        <f>L84</f>
        <v>LUC</v>
      </c>
      <c r="R84" s="33">
        <v>360</v>
      </c>
      <c r="S84" s="33">
        <f>P84-R84</f>
        <v>10.100000000000023</v>
      </c>
      <c r="T84" s="33"/>
      <c r="U84" s="140">
        <f>K84-N84</f>
        <v>0</v>
      </c>
      <c r="V84" s="17"/>
      <c r="W84" s="30">
        <f>K84-H84</f>
        <v>10.100000000000023</v>
      </c>
      <c r="X84" s="14"/>
      <c r="Z84" s="193"/>
    </row>
    <row r="85" spans="1:27" ht="27.95" customHeight="1" x14ac:dyDescent="0.25">
      <c r="A85" s="22"/>
      <c r="B85" s="23" t="s">
        <v>32</v>
      </c>
      <c r="C85" s="24" t="s">
        <v>166</v>
      </c>
      <c r="D85" s="115" t="s">
        <v>167</v>
      </c>
      <c r="E85" s="59" t="s">
        <v>39</v>
      </c>
      <c r="F85" s="32">
        <v>5</v>
      </c>
      <c r="G85" s="32">
        <v>98</v>
      </c>
      <c r="H85" s="36">
        <v>312</v>
      </c>
      <c r="I85" s="32">
        <v>28</v>
      </c>
      <c r="J85" s="32">
        <v>676</v>
      </c>
      <c r="K85" s="33">
        <v>298.7</v>
      </c>
      <c r="L85" s="60" t="s">
        <v>7</v>
      </c>
      <c r="M85" s="116"/>
      <c r="N85" s="33">
        <f>K85</f>
        <v>298.7</v>
      </c>
      <c r="O85" s="33"/>
      <c r="P85" s="35">
        <f>N85</f>
        <v>298.7</v>
      </c>
      <c r="Q85" s="61" t="str">
        <f>L85</f>
        <v>LUC</v>
      </c>
      <c r="R85" s="33">
        <v>298.7</v>
      </c>
      <c r="S85" s="33">
        <f>P85-R85</f>
        <v>0</v>
      </c>
      <c r="T85" s="33"/>
      <c r="U85" s="140">
        <f>K85-N85</f>
        <v>0</v>
      </c>
      <c r="V85" s="15"/>
      <c r="W85" s="30">
        <f>K85-H85</f>
        <v>-13.300000000000011</v>
      </c>
      <c r="X85" s="14"/>
      <c r="Z85" s="193"/>
    </row>
    <row r="86" spans="1:27" ht="27.95" customHeight="1" x14ac:dyDescent="0.25">
      <c r="A86" s="22">
        <v>27</v>
      </c>
      <c r="B86" s="23" t="s">
        <v>168</v>
      </c>
      <c r="C86" s="24" t="s">
        <v>169</v>
      </c>
      <c r="D86" s="115" t="s">
        <v>170</v>
      </c>
      <c r="E86" s="59" t="s">
        <v>44</v>
      </c>
      <c r="F86" s="208">
        <v>5</v>
      </c>
      <c r="G86" s="208">
        <v>131</v>
      </c>
      <c r="H86" s="36">
        <v>96</v>
      </c>
      <c r="I86" s="32">
        <v>28</v>
      </c>
      <c r="J86" s="32">
        <v>548</v>
      </c>
      <c r="K86" s="33">
        <v>357.7</v>
      </c>
      <c r="L86" s="60" t="s">
        <v>48</v>
      </c>
      <c r="M86" s="116"/>
      <c r="N86" s="33">
        <f t="shared" si="21"/>
        <v>357.7</v>
      </c>
      <c r="O86" s="33"/>
      <c r="P86" s="35">
        <f t="shared" si="1"/>
        <v>357.7</v>
      </c>
      <c r="Q86" s="61" t="str">
        <f t="shared" si="7"/>
        <v>LUK</v>
      </c>
      <c r="R86" s="33">
        <v>96</v>
      </c>
      <c r="S86" s="33">
        <f t="shared" si="19"/>
        <v>261.7</v>
      </c>
      <c r="T86" s="33"/>
      <c r="U86" s="140">
        <f t="shared" si="20"/>
        <v>0</v>
      </c>
      <c r="V86" s="15" t="s">
        <v>296</v>
      </c>
      <c r="W86" s="30">
        <f t="shared" si="15"/>
        <v>261.7</v>
      </c>
      <c r="X86" s="14"/>
      <c r="Y86" s="197"/>
      <c r="Z86" s="193"/>
    </row>
    <row r="87" spans="1:27" ht="27.95" customHeight="1" x14ac:dyDescent="0.25">
      <c r="A87" s="22"/>
      <c r="B87" s="23" t="s">
        <v>168</v>
      </c>
      <c r="C87" s="24" t="s">
        <v>169</v>
      </c>
      <c r="D87" s="115" t="s">
        <v>170</v>
      </c>
      <c r="E87" s="59" t="s">
        <v>44</v>
      </c>
      <c r="F87" s="32">
        <v>5</v>
      </c>
      <c r="G87" s="32">
        <v>132</v>
      </c>
      <c r="H87" s="36">
        <v>240</v>
      </c>
      <c r="I87" s="32">
        <v>28</v>
      </c>
      <c r="J87" s="32">
        <v>549</v>
      </c>
      <c r="K87" s="33">
        <v>271.2</v>
      </c>
      <c r="L87" s="60" t="s">
        <v>48</v>
      </c>
      <c r="M87" s="116"/>
      <c r="N87" s="33">
        <f t="shared" si="21"/>
        <v>271.2</v>
      </c>
      <c r="O87" s="33"/>
      <c r="P87" s="35">
        <f t="shared" ref="P87:P98" si="22">N87</f>
        <v>271.2</v>
      </c>
      <c r="Q87" s="61" t="str">
        <f t="shared" si="7"/>
        <v>LUK</v>
      </c>
      <c r="R87" s="33">
        <v>240</v>
      </c>
      <c r="S87" s="33">
        <f t="shared" si="19"/>
        <v>31.199999999999989</v>
      </c>
      <c r="T87" s="33"/>
      <c r="U87" s="140">
        <f t="shared" si="20"/>
        <v>0</v>
      </c>
      <c r="V87" s="15" t="s">
        <v>173</v>
      </c>
      <c r="W87" s="30">
        <f t="shared" si="15"/>
        <v>31.199999999999989</v>
      </c>
      <c r="X87" s="14"/>
      <c r="Z87" s="193"/>
    </row>
    <row r="88" spans="1:27" ht="27.95" customHeight="1" x14ac:dyDescent="0.25">
      <c r="A88" s="22">
        <v>28</v>
      </c>
      <c r="B88" s="23" t="s">
        <v>168</v>
      </c>
      <c r="C88" s="24" t="s">
        <v>171</v>
      </c>
      <c r="D88" s="115" t="s">
        <v>172</v>
      </c>
      <c r="E88" s="59" t="s">
        <v>44</v>
      </c>
      <c r="F88" s="32" t="s">
        <v>40</v>
      </c>
      <c r="G88" s="32"/>
      <c r="H88" s="36">
        <v>240</v>
      </c>
      <c r="I88" s="32">
        <v>28</v>
      </c>
      <c r="J88" s="32">
        <v>544</v>
      </c>
      <c r="K88" s="33">
        <v>310.3</v>
      </c>
      <c r="L88" s="60" t="s">
        <v>7</v>
      </c>
      <c r="M88" s="116"/>
      <c r="N88" s="33">
        <f t="shared" si="21"/>
        <v>310.3</v>
      </c>
      <c r="O88" s="33"/>
      <c r="P88" s="35">
        <f t="shared" si="22"/>
        <v>310.3</v>
      </c>
      <c r="Q88" s="61" t="str">
        <f t="shared" si="7"/>
        <v>LUC</v>
      </c>
      <c r="R88" s="33">
        <v>0</v>
      </c>
      <c r="S88" s="33">
        <f t="shared" si="19"/>
        <v>310.3</v>
      </c>
      <c r="T88" s="33"/>
      <c r="U88" s="140">
        <f t="shared" si="20"/>
        <v>0</v>
      </c>
      <c r="V88" s="15" t="s">
        <v>173</v>
      </c>
      <c r="W88" s="30">
        <f t="shared" si="15"/>
        <v>70.300000000000011</v>
      </c>
      <c r="X88" s="14"/>
      <c r="Z88" s="193"/>
    </row>
    <row r="89" spans="1:27" ht="25.5" customHeight="1" x14ac:dyDescent="0.25">
      <c r="A89" s="22">
        <v>29</v>
      </c>
      <c r="B89" s="23" t="s">
        <v>37</v>
      </c>
      <c r="C89" s="24" t="s">
        <v>174</v>
      </c>
      <c r="D89" s="115" t="s">
        <v>175</v>
      </c>
      <c r="E89" s="59" t="s">
        <v>33</v>
      </c>
      <c r="F89" s="32">
        <v>5</v>
      </c>
      <c r="G89" s="122">
        <v>64</v>
      </c>
      <c r="H89" s="36">
        <v>184</v>
      </c>
      <c r="I89" s="32">
        <v>29</v>
      </c>
      <c r="J89" s="32">
        <v>91</v>
      </c>
      <c r="K89" s="33">
        <v>190.4</v>
      </c>
      <c r="L89" s="60" t="s">
        <v>7</v>
      </c>
      <c r="M89" s="116"/>
      <c r="N89" s="33">
        <v>71.7</v>
      </c>
      <c r="O89" s="33"/>
      <c r="P89" s="35">
        <f t="shared" ref="P89" si="23">N89</f>
        <v>71.7</v>
      </c>
      <c r="Q89" s="61" t="str">
        <f t="shared" ref="Q89" si="24">L89</f>
        <v>LUC</v>
      </c>
      <c r="R89" s="33">
        <v>71.7</v>
      </c>
      <c r="S89" s="33"/>
      <c r="T89" s="33"/>
      <c r="U89" s="140">
        <f t="shared" ref="U89" si="25">K89-N89</f>
        <v>118.7</v>
      </c>
      <c r="V89" s="196" t="s">
        <v>176</v>
      </c>
      <c r="W89" s="30">
        <f t="shared" ref="W89" si="26">K89-H89</f>
        <v>6.4000000000000057</v>
      </c>
      <c r="X89" s="14"/>
      <c r="Y89" s="197"/>
      <c r="Z89" s="193"/>
    </row>
    <row r="90" spans="1:27" ht="42.75" customHeight="1" x14ac:dyDescent="0.25">
      <c r="A90" s="22">
        <v>30</v>
      </c>
      <c r="B90" s="23" t="s">
        <v>10</v>
      </c>
      <c r="C90" s="24" t="s">
        <v>52</v>
      </c>
      <c r="D90" s="115" t="s">
        <v>182</v>
      </c>
      <c r="E90" s="59" t="s">
        <v>44</v>
      </c>
      <c r="F90" s="32">
        <v>5</v>
      </c>
      <c r="G90" s="32">
        <v>179</v>
      </c>
      <c r="H90" s="36">
        <v>48</v>
      </c>
      <c r="I90" s="32">
        <v>28</v>
      </c>
      <c r="J90" s="32">
        <v>602</v>
      </c>
      <c r="K90" s="33">
        <v>145</v>
      </c>
      <c r="L90" s="60" t="s">
        <v>48</v>
      </c>
      <c r="M90" s="60"/>
      <c r="N90" s="33">
        <v>142.1</v>
      </c>
      <c r="O90" s="33"/>
      <c r="P90" s="35">
        <f t="shared" si="22"/>
        <v>142.1</v>
      </c>
      <c r="Q90" s="61" t="str">
        <f t="shared" si="7"/>
        <v>LUK</v>
      </c>
      <c r="R90" s="33">
        <v>48</v>
      </c>
      <c r="S90" s="33">
        <f>P90-R90</f>
        <v>94.1</v>
      </c>
      <c r="T90" s="33"/>
      <c r="U90" s="140">
        <f>K90-M90-N90</f>
        <v>2.9000000000000057</v>
      </c>
      <c r="V90" s="15" t="s">
        <v>183</v>
      </c>
      <c r="W90" s="30"/>
      <c r="X90" s="139"/>
      <c r="Y90" s="202"/>
      <c r="Z90" s="193"/>
      <c r="AA90" s="202"/>
    </row>
    <row r="91" spans="1:27" ht="27" customHeight="1" x14ac:dyDescent="0.25">
      <c r="A91" s="22">
        <v>31</v>
      </c>
      <c r="B91" s="23" t="s">
        <v>49</v>
      </c>
      <c r="C91" s="24" t="s">
        <v>184</v>
      </c>
      <c r="D91" s="142" t="s">
        <v>185</v>
      </c>
      <c r="E91" s="59" t="s">
        <v>112</v>
      </c>
      <c r="F91" s="124" t="s">
        <v>40</v>
      </c>
      <c r="G91" s="124"/>
      <c r="H91" s="36">
        <v>120</v>
      </c>
      <c r="I91" s="32">
        <v>28</v>
      </c>
      <c r="J91" s="32">
        <v>537</v>
      </c>
      <c r="K91" s="33">
        <v>164.2</v>
      </c>
      <c r="L91" s="60" t="s">
        <v>48</v>
      </c>
      <c r="M91" s="116"/>
      <c r="N91" s="33">
        <f t="shared" ref="N91:N98" si="27">K91</f>
        <v>164.2</v>
      </c>
      <c r="O91" s="33"/>
      <c r="P91" s="35">
        <f t="shared" si="22"/>
        <v>164.2</v>
      </c>
      <c r="Q91" s="61" t="str">
        <f t="shared" si="7"/>
        <v>LUK</v>
      </c>
      <c r="R91" s="33">
        <v>0</v>
      </c>
      <c r="S91" s="33">
        <f t="shared" ref="S91:S98" si="28">P91-R91</f>
        <v>164.2</v>
      </c>
      <c r="T91" s="33"/>
      <c r="U91" s="140">
        <f t="shared" ref="U91:U99" si="29">K91-N91</f>
        <v>0</v>
      </c>
      <c r="V91" s="15" t="s">
        <v>186</v>
      </c>
      <c r="W91" s="30">
        <f>K91-H91</f>
        <v>44.199999999999989</v>
      </c>
      <c r="X91" s="14"/>
      <c r="Z91" s="193"/>
    </row>
    <row r="92" spans="1:27" ht="29.25" customHeight="1" x14ac:dyDescent="0.25">
      <c r="A92" s="22"/>
      <c r="B92" s="23" t="s">
        <v>49</v>
      </c>
      <c r="C92" s="24" t="s">
        <v>184</v>
      </c>
      <c r="D92" s="115" t="s">
        <v>185</v>
      </c>
      <c r="E92" s="59" t="s">
        <v>44</v>
      </c>
      <c r="F92" s="32">
        <v>5</v>
      </c>
      <c r="G92" s="32">
        <v>132</v>
      </c>
      <c r="H92" s="36">
        <v>288</v>
      </c>
      <c r="I92" s="32">
        <v>28</v>
      </c>
      <c r="J92" s="32">
        <v>550</v>
      </c>
      <c r="K92" s="33">
        <v>294.8</v>
      </c>
      <c r="L92" s="60" t="s">
        <v>48</v>
      </c>
      <c r="M92" s="116"/>
      <c r="N92" s="33">
        <f t="shared" si="27"/>
        <v>294.8</v>
      </c>
      <c r="O92" s="33"/>
      <c r="P92" s="35">
        <f t="shared" si="22"/>
        <v>294.8</v>
      </c>
      <c r="Q92" s="61" t="str">
        <f t="shared" si="7"/>
        <v>LUK</v>
      </c>
      <c r="R92" s="33">
        <v>288</v>
      </c>
      <c r="S92" s="33">
        <f t="shared" si="28"/>
        <v>6.8000000000000114</v>
      </c>
      <c r="T92" s="33"/>
      <c r="U92" s="140">
        <f t="shared" si="29"/>
        <v>0</v>
      </c>
      <c r="V92" s="15" t="s">
        <v>187</v>
      </c>
      <c r="W92" s="30">
        <f>K92-H92</f>
        <v>6.8000000000000114</v>
      </c>
      <c r="X92" s="14"/>
      <c r="Z92" s="193"/>
    </row>
    <row r="93" spans="1:27" ht="26.1" customHeight="1" x14ac:dyDescent="0.25">
      <c r="A93" s="22">
        <v>32</v>
      </c>
      <c r="B93" s="23" t="s">
        <v>8</v>
      </c>
      <c r="C93" s="24" t="s">
        <v>188</v>
      </c>
      <c r="D93" s="115" t="s">
        <v>189</v>
      </c>
      <c r="E93" s="59" t="s">
        <v>33</v>
      </c>
      <c r="F93" s="32">
        <v>5</v>
      </c>
      <c r="G93" s="32">
        <v>43</v>
      </c>
      <c r="H93" s="36">
        <f>312+48</f>
        <v>360</v>
      </c>
      <c r="I93" s="32">
        <v>29</v>
      </c>
      <c r="J93" s="32">
        <v>59</v>
      </c>
      <c r="K93" s="33">
        <v>425.8</v>
      </c>
      <c r="L93" s="60" t="s">
        <v>7</v>
      </c>
      <c r="M93" s="116"/>
      <c r="N93" s="33">
        <f t="shared" si="27"/>
        <v>425.8</v>
      </c>
      <c r="O93" s="33"/>
      <c r="P93" s="35">
        <f t="shared" si="22"/>
        <v>425.8</v>
      </c>
      <c r="Q93" s="61" t="str">
        <f t="shared" si="7"/>
        <v>LUC</v>
      </c>
      <c r="R93" s="33">
        <v>360</v>
      </c>
      <c r="S93" s="33">
        <f t="shared" si="28"/>
        <v>65.800000000000011</v>
      </c>
      <c r="T93" s="33"/>
      <c r="U93" s="140">
        <f t="shared" si="29"/>
        <v>0</v>
      </c>
      <c r="V93" s="15"/>
      <c r="W93" s="30">
        <f>K93-H93</f>
        <v>65.800000000000011</v>
      </c>
      <c r="X93" s="14" t="s">
        <v>190</v>
      </c>
      <c r="Z93" s="193"/>
    </row>
    <row r="94" spans="1:27" ht="26.1" customHeight="1" x14ac:dyDescent="0.25">
      <c r="A94" s="22"/>
      <c r="B94" s="23" t="s">
        <v>8</v>
      </c>
      <c r="C94" s="24" t="s">
        <v>188</v>
      </c>
      <c r="D94" s="115" t="s">
        <v>189</v>
      </c>
      <c r="E94" s="59" t="s">
        <v>33</v>
      </c>
      <c r="F94" s="560">
        <v>5</v>
      </c>
      <c r="G94" s="560">
        <v>40</v>
      </c>
      <c r="H94" s="561">
        <v>792</v>
      </c>
      <c r="I94" s="32">
        <v>29</v>
      </c>
      <c r="J94" s="32">
        <v>36</v>
      </c>
      <c r="K94" s="33">
        <v>372.3</v>
      </c>
      <c r="L94" s="60" t="s">
        <v>7</v>
      </c>
      <c r="M94" s="116"/>
      <c r="N94" s="33">
        <f t="shared" si="27"/>
        <v>372.3</v>
      </c>
      <c r="O94" s="33"/>
      <c r="P94" s="35">
        <f t="shared" si="22"/>
        <v>372.3</v>
      </c>
      <c r="Q94" s="61" t="str">
        <f t="shared" si="7"/>
        <v>LUC</v>
      </c>
      <c r="R94" s="33">
        <v>372.3</v>
      </c>
      <c r="S94" s="33">
        <f t="shared" si="28"/>
        <v>0</v>
      </c>
      <c r="T94" s="33"/>
      <c r="U94" s="140">
        <f t="shared" si="29"/>
        <v>0</v>
      </c>
      <c r="V94" s="15"/>
      <c r="W94" s="562">
        <f>372.3+407.4-792</f>
        <v>-12.299999999999955</v>
      </c>
      <c r="X94" s="14"/>
      <c r="Y94" s="578">
        <f>R94+R95-H94</f>
        <v>-12.299999999999955</v>
      </c>
      <c r="Z94" s="572"/>
    </row>
    <row r="95" spans="1:27" ht="26.1" customHeight="1" x14ac:dyDescent="0.25">
      <c r="A95" s="22"/>
      <c r="B95" s="23" t="s">
        <v>8</v>
      </c>
      <c r="C95" s="24" t="s">
        <v>188</v>
      </c>
      <c r="D95" s="115" t="s">
        <v>189</v>
      </c>
      <c r="E95" s="59" t="s">
        <v>33</v>
      </c>
      <c r="F95" s="560"/>
      <c r="G95" s="560"/>
      <c r="H95" s="561"/>
      <c r="I95" s="32">
        <v>29</v>
      </c>
      <c r="J95" s="32">
        <v>46</v>
      </c>
      <c r="K95" s="33">
        <v>407.4</v>
      </c>
      <c r="L95" s="60" t="s">
        <v>7</v>
      </c>
      <c r="M95" s="116"/>
      <c r="N95" s="33">
        <f t="shared" si="27"/>
        <v>407.4</v>
      </c>
      <c r="O95" s="33"/>
      <c r="P95" s="35">
        <f t="shared" si="22"/>
        <v>407.4</v>
      </c>
      <c r="Q95" s="61" t="str">
        <f t="shared" si="7"/>
        <v>LUC</v>
      </c>
      <c r="R95" s="33">
        <v>407.4</v>
      </c>
      <c r="S95" s="33">
        <f t="shared" si="28"/>
        <v>0</v>
      </c>
      <c r="T95" s="33"/>
      <c r="U95" s="140">
        <f t="shared" si="29"/>
        <v>0</v>
      </c>
      <c r="V95" s="143" t="s">
        <v>191</v>
      </c>
      <c r="W95" s="562"/>
      <c r="X95" s="14"/>
      <c r="Y95" s="579"/>
      <c r="Z95" s="572"/>
    </row>
    <row r="96" spans="1:27" ht="26.1" customHeight="1" x14ac:dyDescent="0.25">
      <c r="A96" s="22"/>
      <c r="B96" s="23" t="s">
        <v>8</v>
      </c>
      <c r="C96" s="24" t="s">
        <v>188</v>
      </c>
      <c r="D96" s="115" t="s">
        <v>189</v>
      </c>
      <c r="E96" s="59" t="s">
        <v>33</v>
      </c>
      <c r="F96" s="560">
        <v>5</v>
      </c>
      <c r="G96" s="560">
        <v>79</v>
      </c>
      <c r="H96" s="561">
        <v>864</v>
      </c>
      <c r="I96" s="32">
        <v>28</v>
      </c>
      <c r="J96" s="32">
        <v>612</v>
      </c>
      <c r="K96" s="33">
        <v>388.5</v>
      </c>
      <c r="L96" s="60" t="s">
        <v>7</v>
      </c>
      <c r="M96" s="116"/>
      <c r="N96" s="33">
        <f t="shared" si="27"/>
        <v>388.5</v>
      </c>
      <c r="O96" s="33"/>
      <c r="P96" s="35">
        <f t="shared" si="22"/>
        <v>388.5</v>
      </c>
      <c r="Q96" s="61" t="str">
        <f>L96</f>
        <v>LUC</v>
      </c>
      <c r="R96" s="33">
        <v>388.5</v>
      </c>
      <c r="S96" s="33">
        <f t="shared" si="28"/>
        <v>0</v>
      </c>
      <c r="T96" s="33"/>
      <c r="U96" s="140">
        <f t="shared" si="29"/>
        <v>0</v>
      </c>
      <c r="V96" s="15" t="s">
        <v>192</v>
      </c>
      <c r="W96" s="562">
        <f>388.5+481.2-864</f>
        <v>5.7000000000000455</v>
      </c>
      <c r="X96" s="14"/>
      <c r="Y96" s="577">
        <f>(P96+P97)-H96</f>
        <v>5.7000000000000455</v>
      </c>
      <c r="Z96" s="572"/>
    </row>
    <row r="97" spans="1:26" ht="26.1" customHeight="1" x14ac:dyDescent="0.25">
      <c r="A97" s="22"/>
      <c r="B97" s="23" t="s">
        <v>8</v>
      </c>
      <c r="C97" s="24" t="s">
        <v>188</v>
      </c>
      <c r="D97" s="115" t="s">
        <v>189</v>
      </c>
      <c r="E97" s="59" t="s">
        <v>33</v>
      </c>
      <c r="F97" s="560"/>
      <c r="G97" s="560"/>
      <c r="H97" s="561"/>
      <c r="I97" s="32">
        <v>28</v>
      </c>
      <c r="J97" s="32">
        <v>542</v>
      </c>
      <c r="K97" s="33">
        <v>481.2</v>
      </c>
      <c r="L97" s="60" t="s">
        <v>7</v>
      </c>
      <c r="M97" s="116"/>
      <c r="N97" s="33">
        <f t="shared" si="27"/>
        <v>481.2</v>
      </c>
      <c r="O97" s="33"/>
      <c r="P97" s="35">
        <f t="shared" si="22"/>
        <v>481.2</v>
      </c>
      <c r="Q97" s="61" t="str">
        <f>L97</f>
        <v>LUC</v>
      </c>
      <c r="R97" s="33">
        <f>864-388.5</f>
        <v>475.5</v>
      </c>
      <c r="S97" s="33">
        <f t="shared" si="28"/>
        <v>5.6999999999999886</v>
      </c>
      <c r="T97" s="33"/>
      <c r="U97" s="140">
        <f t="shared" si="29"/>
        <v>0</v>
      </c>
      <c r="V97" s="15"/>
      <c r="W97" s="562"/>
      <c r="X97" s="14"/>
      <c r="Y97" s="577"/>
      <c r="Z97" s="572"/>
    </row>
    <row r="98" spans="1:26" ht="26.1" customHeight="1" x14ac:dyDescent="0.25">
      <c r="A98" s="22"/>
      <c r="B98" s="23" t="s">
        <v>8</v>
      </c>
      <c r="C98" s="24" t="s">
        <v>188</v>
      </c>
      <c r="D98" s="115" t="s">
        <v>189</v>
      </c>
      <c r="E98" s="59" t="s">
        <v>39</v>
      </c>
      <c r="F98" s="32">
        <v>5</v>
      </c>
      <c r="G98" s="32">
        <v>133</v>
      </c>
      <c r="H98" s="36">
        <v>600</v>
      </c>
      <c r="I98" s="32">
        <v>28</v>
      </c>
      <c r="J98" s="32">
        <v>617</v>
      </c>
      <c r="K98" s="33">
        <v>740.9</v>
      </c>
      <c r="L98" s="60" t="s">
        <v>7</v>
      </c>
      <c r="M98" s="116"/>
      <c r="N98" s="33">
        <f t="shared" si="27"/>
        <v>740.9</v>
      </c>
      <c r="O98" s="33"/>
      <c r="P98" s="35">
        <f t="shared" si="22"/>
        <v>740.9</v>
      </c>
      <c r="Q98" s="61" t="str">
        <f>L98</f>
        <v>LUC</v>
      </c>
      <c r="R98" s="33">
        <v>600</v>
      </c>
      <c r="S98" s="33">
        <f t="shared" si="28"/>
        <v>140.89999999999998</v>
      </c>
      <c r="T98" s="33"/>
      <c r="U98" s="140">
        <f t="shared" si="29"/>
        <v>0</v>
      </c>
      <c r="V98" s="15" t="s">
        <v>193</v>
      </c>
      <c r="W98" s="30">
        <f>K98-H98</f>
        <v>140.89999999999998</v>
      </c>
      <c r="X98" s="14"/>
      <c r="Y98" s="202">
        <f>P98-H98</f>
        <v>140.89999999999998</v>
      </c>
      <c r="Z98" s="193"/>
    </row>
    <row r="99" spans="1:26" ht="16.5" customHeight="1" x14ac:dyDescent="0.25">
      <c r="A99" s="144"/>
      <c r="B99" s="145"/>
      <c r="C99" s="146"/>
      <c r="D99" s="147"/>
      <c r="E99" s="148"/>
      <c r="F99" s="144"/>
      <c r="G99" s="144"/>
      <c r="H99" s="149"/>
      <c r="I99" s="150"/>
      <c r="J99" s="150"/>
      <c r="K99" s="151"/>
      <c r="L99" s="152"/>
      <c r="M99" s="153"/>
      <c r="N99" s="33">
        <f>K99</f>
        <v>0</v>
      </c>
      <c r="O99" s="33"/>
      <c r="P99" s="35"/>
      <c r="Q99" s="61"/>
      <c r="R99" s="33"/>
      <c r="S99" s="33"/>
      <c r="T99" s="33"/>
      <c r="U99" s="140">
        <f t="shared" si="29"/>
        <v>0</v>
      </c>
      <c r="V99" s="154"/>
      <c r="W99" s="155"/>
      <c r="X99" s="18"/>
    </row>
    <row r="100" spans="1:26" ht="24" customHeight="1" x14ac:dyDescent="0.25">
      <c r="A100" s="19"/>
      <c r="B100" s="20" t="s">
        <v>26</v>
      </c>
      <c r="C100" s="21"/>
      <c r="D100" s="26"/>
      <c r="E100" s="64"/>
      <c r="F100" s="65"/>
      <c r="G100" s="65"/>
      <c r="H100" s="39">
        <f>SUBTOTAL(9,H9:H99)</f>
        <v>29860</v>
      </c>
      <c r="I100" s="39"/>
      <c r="J100" s="39"/>
      <c r="K100" s="39">
        <f t="shared" ref="K100:U100" si="30">SUBTOTAL(9,K9:K99)</f>
        <v>40311.400000000016</v>
      </c>
      <c r="L100" s="39">
        <f t="shared" si="30"/>
        <v>0</v>
      </c>
      <c r="M100" s="39">
        <f t="shared" si="30"/>
        <v>657.3</v>
      </c>
      <c r="N100" s="39">
        <f t="shared" si="30"/>
        <v>33433</v>
      </c>
      <c r="O100" s="39">
        <f t="shared" si="30"/>
        <v>143.50000000000003</v>
      </c>
      <c r="P100" s="39">
        <f t="shared" si="30"/>
        <v>33576.5</v>
      </c>
      <c r="Q100" s="39">
        <f t="shared" si="30"/>
        <v>0</v>
      </c>
      <c r="R100" s="472">
        <f t="shared" si="30"/>
        <v>25645.4</v>
      </c>
      <c r="S100" s="472">
        <f t="shared" si="30"/>
        <v>7619.7999999999984</v>
      </c>
      <c r="T100" s="472">
        <f t="shared" si="30"/>
        <v>311.29999999999995</v>
      </c>
      <c r="U100" s="39">
        <f t="shared" si="30"/>
        <v>2219.4</v>
      </c>
      <c r="V100" s="27">
        <f>SUBTOTAL(9,V42:V99)</f>
        <v>0</v>
      </c>
      <c r="W100" s="29"/>
      <c r="X100" s="18"/>
    </row>
    <row r="103" spans="1:26" x14ac:dyDescent="0.25">
      <c r="P103" s="202"/>
    </row>
  </sheetData>
  <autoFilter ref="A8:Y99" xr:uid="{00000000-0009-0000-0000-000005000000}"/>
  <mergeCells count="48">
    <mergeCell ref="Z94:Z95"/>
    <mergeCell ref="F96:F97"/>
    <mergeCell ref="G96:G97"/>
    <mergeCell ref="H96:H97"/>
    <mergeCell ref="W96:W97"/>
    <mergeCell ref="Y96:Y97"/>
    <mergeCell ref="Z96:Z97"/>
    <mergeCell ref="F94:F95"/>
    <mergeCell ref="G94:G95"/>
    <mergeCell ref="H94:H95"/>
    <mergeCell ref="W94:W95"/>
    <mergeCell ref="Y94:Y95"/>
    <mergeCell ref="F56:F58"/>
    <mergeCell ref="G56:G58"/>
    <mergeCell ref="H56:H58"/>
    <mergeCell ref="W56:W58"/>
    <mergeCell ref="Z56:Z58"/>
    <mergeCell ref="Z15:Z17"/>
    <mergeCell ref="F43:F44"/>
    <mergeCell ref="G43:G44"/>
    <mergeCell ref="H43:H44"/>
    <mergeCell ref="W43:W44"/>
    <mergeCell ref="Y43:Y46"/>
    <mergeCell ref="Z43:Z44"/>
    <mergeCell ref="F15:F17"/>
    <mergeCell ref="G15:G17"/>
    <mergeCell ref="H15:H17"/>
    <mergeCell ref="W15:W17"/>
    <mergeCell ref="F9:F10"/>
    <mergeCell ref="G9:G10"/>
    <mergeCell ref="H9:H10"/>
    <mergeCell ref="W9:W10"/>
    <mergeCell ref="N6:N7"/>
    <mergeCell ref="P6:P7"/>
    <mergeCell ref="Q6:T6"/>
    <mergeCell ref="U6:U7"/>
    <mergeCell ref="V6:V7"/>
    <mergeCell ref="A1:W1"/>
    <mergeCell ref="A2:W2"/>
    <mergeCell ref="A3:W3"/>
    <mergeCell ref="A4:W4"/>
    <mergeCell ref="A6:A7"/>
    <mergeCell ref="B6:C7"/>
    <mergeCell ref="D6:D7"/>
    <mergeCell ref="E6:H6"/>
    <mergeCell ref="I6:L6"/>
    <mergeCell ref="M6:M7"/>
    <mergeCell ref="W6:W7"/>
  </mergeCells>
  <pageMargins left="0.1" right="0.1" top="0.25" bottom="0.25" header="0.3" footer="0.3"/>
  <pageSetup paperSize="8" scale="95"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WWN130"/>
  <sheetViews>
    <sheetView topLeftCell="J112" workbookViewId="0">
      <selection activeCell="AE122" sqref="AE122"/>
    </sheetView>
  </sheetViews>
  <sheetFormatPr defaultColWidth="7.25" defaultRowHeight="15.75" x14ac:dyDescent="0.25"/>
  <cols>
    <col min="1" max="1" width="2.875" style="217" customWidth="1"/>
    <col min="2" max="2" width="14.5" style="218" customWidth="1"/>
    <col min="3" max="3" width="3.25" style="219" customWidth="1"/>
    <col min="4" max="4" width="4" style="219" customWidth="1"/>
    <col min="5" max="5" width="6.25" style="219" customWidth="1"/>
    <col min="6" max="6" width="8" style="219" customWidth="1"/>
    <col min="7" max="7" width="3.5" style="220" customWidth="1"/>
    <col min="8" max="8" width="3.875" style="221" customWidth="1"/>
    <col min="9" max="9" width="7.125" style="186" customWidth="1"/>
    <col min="10" max="10" width="4.125" style="222" customWidth="1"/>
    <col min="11" max="11" width="6.5" style="223" customWidth="1"/>
    <col min="12" max="12" width="6.625" style="223" customWidth="1"/>
    <col min="13" max="13" width="5.875" style="223" customWidth="1"/>
    <col min="14" max="15" width="6.5" style="186" customWidth="1"/>
    <col min="16" max="16" width="5.25" style="186" customWidth="1"/>
    <col min="17" max="17" width="6.5" style="224" customWidth="1"/>
    <col min="18" max="18" width="4.5" style="225" customWidth="1"/>
    <col min="19" max="19" width="5.625" style="186" customWidth="1"/>
    <col min="20" max="20" width="5.875" style="226" customWidth="1"/>
    <col min="21" max="21" width="9.25" style="226" customWidth="1"/>
    <col min="22" max="22" width="15.125" style="245" customWidth="1"/>
    <col min="23" max="23" width="4.25" style="245" customWidth="1"/>
    <col min="24" max="24" width="6.125" style="108" customWidth="1"/>
    <col min="25" max="25" width="7.5" style="57" customWidth="1"/>
    <col min="26" max="26" width="4.375" style="57" customWidth="1"/>
    <col min="27" max="27" width="8.875" style="57" customWidth="1"/>
    <col min="28" max="28" width="10" style="57" customWidth="1"/>
    <col min="29" max="29" width="9" style="57" customWidth="1"/>
    <col min="30" max="30" width="9.375" style="57" customWidth="1"/>
    <col min="31" max="31" width="9.875" style="104" customWidth="1"/>
    <col min="32" max="32" width="10.75" style="104" customWidth="1"/>
    <col min="33" max="33" width="13.75" style="105" customWidth="1"/>
    <col min="34" max="34" width="13.875" style="106" customWidth="1"/>
    <col min="35" max="35" width="6" style="54" customWidth="1"/>
    <col min="36" max="36" width="16" style="106" customWidth="1"/>
    <col min="37" max="249" width="9" style="79" customWidth="1"/>
    <col min="250" max="250" width="2.625" style="79" customWidth="1"/>
    <col min="251" max="251" width="9.125" style="79" customWidth="1"/>
    <col min="252" max="252" width="2.625" style="79" customWidth="1"/>
    <col min="253" max="253" width="12" style="79" bestFit="1" customWidth="1"/>
    <col min="254" max="254" width="6.625" style="79" customWidth="1"/>
    <col min="255" max="255" width="6.375" style="79" customWidth="1"/>
    <col min="256" max="259" width="7.25" style="79"/>
    <col min="260" max="260" width="2.875" style="79" customWidth="1"/>
    <col min="261" max="261" width="10.125" style="79" customWidth="1"/>
    <col min="262" max="262" width="6" style="79" customWidth="1"/>
    <col min="263" max="263" width="5.875" style="79" customWidth="1"/>
    <col min="264" max="264" width="3.5" style="79" customWidth="1"/>
    <col min="265" max="265" width="3.875" style="79" customWidth="1"/>
    <col min="266" max="266" width="6.125" style="79" customWidth="1"/>
    <col min="267" max="267" width="4.125" style="79" customWidth="1"/>
    <col min="268" max="269" width="6.25" style="79" customWidth="1"/>
    <col min="270" max="270" width="5.25" style="79" customWidth="1"/>
    <col min="271" max="271" width="6.5" style="79" customWidth="1"/>
    <col min="272" max="272" width="5.625" style="79" customWidth="1"/>
    <col min="273" max="273" width="5.125" style="79" customWidth="1"/>
    <col min="274" max="274" width="9" style="79" customWidth="1"/>
    <col min="275" max="275" width="12.75" style="79" customWidth="1"/>
    <col min="276" max="276" width="3.875" style="79" customWidth="1"/>
    <col min="277" max="277" width="5.875" style="79" customWidth="1"/>
    <col min="278" max="278" width="5.75" style="79" customWidth="1"/>
    <col min="279" max="279" width="4.375" style="79" customWidth="1"/>
    <col min="280" max="280" width="8.875" style="79" customWidth="1"/>
    <col min="281" max="281" width="8.125" style="79" customWidth="1"/>
    <col min="282" max="282" width="9.125" style="79" customWidth="1"/>
    <col min="283" max="283" width="0" style="79" hidden="1" customWidth="1"/>
    <col min="284" max="284" width="5.75" style="79" customWidth="1"/>
    <col min="285" max="285" width="3.625" style="79" customWidth="1"/>
    <col min="286" max="286" width="7.625" style="79" customWidth="1"/>
    <col min="287" max="287" width="9.375" style="79" customWidth="1"/>
    <col min="288" max="288" width="0" style="79" hidden="1" customWidth="1"/>
    <col min="289" max="289" width="21.375" style="79" customWidth="1"/>
    <col min="290" max="290" width="6.25" style="79" customWidth="1"/>
    <col min="291" max="291" width="6" style="79" customWidth="1"/>
    <col min="292" max="292" width="16" style="79" customWidth="1"/>
    <col min="293" max="505" width="9" style="79" customWidth="1"/>
    <col min="506" max="506" width="2.625" style="79" customWidth="1"/>
    <col min="507" max="507" width="9.125" style="79" customWidth="1"/>
    <col min="508" max="508" width="2.625" style="79" customWidth="1"/>
    <col min="509" max="509" width="12" style="79" bestFit="1" customWidth="1"/>
    <col min="510" max="510" width="6.625" style="79" customWidth="1"/>
    <col min="511" max="511" width="6.375" style="79" customWidth="1"/>
    <col min="512" max="515" width="7.25" style="79"/>
    <col min="516" max="516" width="2.875" style="79" customWidth="1"/>
    <col min="517" max="517" width="10.125" style="79" customWidth="1"/>
    <col min="518" max="518" width="6" style="79" customWidth="1"/>
    <col min="519" max="519" width="5.875" style="79" customWidth="1"/>
    <col min="520" max="520" width="3.5" style="79" customWidth="1"/>
    <col min="521" max="521" width="3.875" style="79" customWidth="1"/>
    <col min="522" max="522" width="6.125" style="79" customWidth="1"/>
    <col min="523" max="523" width="4.125" style="79" customWidth="1"/>
    <col min="524" max="525" width="6.25" style="79" customWidth="1"/>
    <col min="526" max="526" width="5.25" style="79" customWidth="1"/>
    <col min="527" max="527" width="6.5" style="79" customWidth="1"/>
    <col min="528" max="528" width="5.625" style="79" customWidth="1"/>
    <col min="529" max="529" width="5.125" style="79" customWidth="1"/>
    <col min="530" max="530" width="9" style="79" customWidth="1"/>
    <col min="531" max="531" width="12.75" style="79" customWidth="1"/>
    <col min="532" max="532" width="3.875" style="79" customWidth="1"/>
    <col min="533" max="533" width="5.875" style="79" customWidth="1"/>
    <col min="534" max="534" width="5.75" style="79" customWidth="1"/>
    <col min="535" max="535" width="4.375" style="79" customWidth="1"/>
    <col min="536" max="536" width="8.875" style="79" customWidth="1"/>
    <col min="537" max="537" width="8.125" style="79" customWidth="1"/>
    <col min="538" max="538" width="9.125" style="79" customWidth="1"/>
    <col min="539" max="539" width="0" style="79" hidden="1" customWidth="1"/>
    <col min="540" max="540" width="5.75" style="79" customWidth="1"/>
    <col min="541" max="541" width="3.625" style="79" customWidth="1"/>
    <col min="542" max="542" width="7.625" style="79" customWidth="1"/>
    <col min="543" max="543" width="9.375" style="79" customWidth="1"/>
    <col min="544" max="544" width="0" style="79" hidden="1" customWidth="1"/>
    <col min="545" max="545" width="21.375" style="79" customWidth="1"/>
    <col min="546" max="546" width="6.25" style="79" customWidth="1"/>
    <col min="547" max="547" width="6" style="79" customWidth="1"/>
    <col min="548" max="548" width="16" style="79" customWidth="1"/>
    <col min="549" max="761" width="9" style="79" customWidth="1"/>
    <col min="762" max="762" width="2.625" style="79" customWidth="1"/>
    <col min="763" max="763" width="9.125" style="79" customWidth="1"/>
    <col min="764" max="764" width="2.625" style="79" customWidth="1"/>
    <col min="765" max="765" width="12" style="79" bestFit="1" customWidth="1"/>
    <col min="766" max="766" width="6.625" style="79" customWidth="1"/>
    <col min="767" max="767" width="6.375" style="79" customWidth="1"/>
    <col min="768" max="771" width="7.25" style="79"/>
    <col min="772" max="772" width="2.875" style="79" customWidth="1"/>
    <col min="773" max="773" width="10.125" style="79" customWidth="1"/>
    <col min="774" max="774" width="6" style="79" customWidth="1"/>
    <col min="775" max="775" width="5.875" style="79" customWidth="1"/>
    <col min="776" max="776" width="3.5" style="79" customWidth="1"/>
    <col min="777" max="777" width="3.875" style="79" customWidth="1"/>
    <col min="778" max="778" width="6.125" style="79" customWidth="1"/>
    <col min="779" max="779" width="4.125" style="79" customWidth="1"/>
    <col min="780" max="781" width="6.25" style="79" customWidth="1"/>
    <col min="782" max="782" width="5.25" style="79" customWidth="1"/>
    <col min="783" max="783" width="6.5" style="79" customWidth="1"/>
    <col min="784" max="784" width="5.625" style="79" customWidth="1"/>
    <col min="785" max="785" width="5.125" style="79" customWidth="1"/>
    <col min="786" max="786" width="9" style="79" customWidth="1"/>
    <col min="787" max="787" width="12.75" style="79" customWidth="1"/>
    <col min="788" max="788" width="3.875" style="79" customWidth="1"/>
    <col min="789" max="789" width="5.875" style="79" customWidth="1"/>
    <col min="790" max="790" width="5.75" style="79" customWidth="1"/>
    <col min="791" max="791" width="4.375" style="79" customWidth="1"/>
    <col min="792" max="792" width="8.875" style="79" customWidth="1"/>
    <col min="793" max="793" width="8.125" style="79" customWidth="1"/>
    <col min="794" max="794" width="9.125" style="79" customWidth="1"/>
    <col min="795" max="795" width="0" style="79" hidden="1" customWidth="1"/>
    <col min="796" max="796" width="5.75" style="79" customWidth="1"/>
    <col min="797" max="797" width="3.625" style="79" customWidth="1"/>
    <col min="798" max="798" width="7.625" style="79" customWidth="1"/>
    <col min="799" max="799" width="9.375" style="79" customWidth="1"/>
    <col min="800" max="800" width="0" style="79" hidden="1" customWidth="1"/>
    <col min="801" max="801" width="21.375" style="79" customWidth="1"/>
    <col min="802" max="802" width="6.25" style="79" customWidth="1"/>
    <col min="803" max="803" width="6" style="79" customWidth="1"/>
    <col min="804" max="804" width="16" style="79" customWidth="1"/>
    <col min="805" max="1017" width="9" style="79" customWidth="1"/>
    <col min="1018" max="1018" width="2.625" style="79" customWidth="1"/>
    <col min="1019" max="1019" width="9.125" style="79" customWidth="1"/>
    <col min="1020" max="1020" width="2.625" style="79" customWidth="1"/>
    <col min="1021" max="1021" width="12" style="79" bestFit="1" customWidth="1"/>
    <col min="1022" max="1022" width="6.625" style="79" customWidth="1"/>
    <col min="1023" max="1023" width="6.375" style="79" customWidth="1"/>
    <col min="1024" max="1027" width="7.25" style="79"/>
    <col min="1028" max="1028" width="2.875" style="79" customWidth="1"/>
    <col min="1029" max="1029" width="10.125" style="79" customWidth="1"/>
    <col min="1030" max="1030" width="6" style="79" customWidth="1"/>
    <col min="1031" max="1031" width="5.875" style="79" customWidth="1"/>
    <col min="1032" max="1032" width="3.5" style="79" customWidth="1"/>
    <col min="1033" max="1033" width="3.875" style="79" customWidth="1"/>
    <col min="1034" max="1034" width="6.125" style="79" customWidth="1"/>
    <col min="1035" max="1035" width="4.125" style="79" customWidth="1"/>
    <col min="1036" max="1037" width="6.25" style="79" customWidth="1"/>
    <col min="1038" max="1038" width="5.25" style="79" customWidth="1"/>
    <col min="1039" max="1039" width="6.5" style="79" customWidth="1"/>
    <col min="1040" max="1040" width="5.625" style="79" customWidth="1"/>
    <col min="1041" max="1041" width="5.125" style="79" customWidth="1"/>
    <col min="1042" max="1042" width="9" style="79" customWidth="1"/>
    <col min="1043" max="1043" width="12.75" style="79" customWidth="1"/>
    <col min="1044" max="1044" width="3.875" style="79" customWidth="1"/>
    <col min="1045" max="1045" width="5.875" style="79" customWidth="1"/>
    <col min="1046" max="1046" width="5.75" style="79" customWidth="1"/>
    <col min="1047" max="1047" width="4.375" style="79" customWidth="1"/>
    <col min="1048" max="1048" width="8.875" style="79" customWidth="1"/>
    <col min="1049" max="1049" width="8.125" style="79" customWidth="1"/>
    <col min="1050" max="1050" width="9.125" style="79" customWidth="1"/>
    <col min="1051" max="1051" width="0" style="79" hidden="1" customWidth="1"/>
    <col min="1052" max="1052" width="5.75" style="79" customWidth="1"/>
    <col min="1053" max="1053" width="3.625" style="79" customWidth="1"/>
    <col min="1054" max="1054" width="7.625" style="79" customWidth="1"/>
    <col min="1055" max="1055" width="9.375" style="79" customWidth="1"/>
    <col min="1056" max="1056" width="0" style="79" hidden="1" customWidth="1"/>
    <col min="1057" max="1057" width="21.375" style="79" customWidth="1"/>
    <col min="1058" max="1058" width="6.25" style="79" customWidth="1"/>
    <col min="1059" max="1059" width="6" style="79" customWidth="1"/>
    <col min="1060" max="1060" width="16" style="79" customWidth="1"/>
    <col min="1061" max="1273" width="9" style="79" customWidth="1"/>
    <col min="1274" max="1274" width="2.625" style="79" customWidth="1"/>
    <col min="1275" max="1275" width="9.125" style="79" customWidth="1"/>
    <col min="1276" max="1276" width="2.625" style="79" customWidth="1"/>
    <col min="1277" max="1277" width="12" style="79" bestFit="1" customWidth="1"/>
    <col min="1278" max="1278" width="6.625" style="79" customWidth="1"/>
    <col min="1279" max="1279" width="6.375" style="79" customWidth="1"/>
    <col min="1280" max="1283" width="7.25" style="79"/>
    <col min="1284" max="1284" width="2.875" style="79" customWidth="1"/>
    <col min="1285" max="1285" width="10.125" style="79" customWidth="1"/>
    <col min="1286" max="1286" width="6" style="79" customWidth="1"/>
    <col min="1287" max="1287" width="5.875" style="79" customWidth="1"/>
    <col min="1288" max="1288" width="3.5" style="79" customWidth="1"/>
    <col min="1289" max="1289" width="3.875" style="79" customWidth="1"/>
    <col min="1290" max="1290" width="6.125" style="79" customWidth="1"/>
    <col min="1291" max="1291" width="4.125" style="79" customWidth="1"/>
    <col min="1292" max="1293" width="6.25" style="79" customWidth="1"/>
    <col min="1294" max="1294" width="5.25" style="79" customWidth="1"/>
    <col min="1295" max="1295" width="6.5" style="79" customWidth="1"/>
    <col min="1296" max="1296" width="5.625" style="79" customWidth="1"/>
    <col min="1297" max="1297" width="5.125" style="79" customWidth="1"/>
    <col min="1298" max="1298" width="9" style="79" customWidth="1"/>
    <col min="1299" max="1299" width="12.75" style="79" customWidth="1"/>
    <col min="1300" max="1300" width="3.875" style="79" customWidth="1"/>
    <col min="1301" max="1301" width="5.875" style="79" customWidth="1"/>
    <col min="1302" max="1302" width="5.75" style="79" customWidth="1"/>
    <col min="1303" max="1303" width="4.375" style="79" customWidth="1"/>
    <col min="1304" max="1304" width="8.875" style="79" customWidth="1"/>
    <col min="1305" max="1305" width="8.125" style="79" customWidth="1"/>
    <col min="1306" max="1306" width="9.125" style="79" customWidth="1"/>
    <col min="1307" max="1307" width="0" style="79" hidden="1" customWidth="1"/>
    <col min="1308" max="1308" width="5.75" style="79" customWidth="1"/>
    <col min="1309" max="1309" width="3.625" style="79" customWidth="1"/>
    <col min="1310" max="1310" width="7.625" style="79" customWidth="1"/>
    <col min="1311" max="1311" width="9.375" style="79" customWidth="1"/>
    <col min="1312" max="1312" width="0" style="79" hidden="1" customWidth="1"/>
    <col min="1313" max="1313" width="21.375" style="79" customWidth="1"/>
    <col min="1314" max="1314" width="6.25" style="79" customWidth="1"/>
    <col min="1315" max="1315" width="6" style="79" customWidth="1"/>
    <col min="1316" max="1316" width="16" style="79" customWidth="1"/>
    <col min="1317" max="1529" width="9" style="79" customWidth="1"/>
    <col min="1530" max="1530" width="2.625" style="79" customWidth="1"/>
    <col min="1531" max="1531" width="9.125" style="79" customWidth="1"/>
    <col min="1532" max="1532" width="2.625" style="79" customWidth="1"/>
    <col min="1533" max="1533" width="12" style="79" bestFit="1" customWidth="1"/>
    <col min="1534" max="1534" width="6.625" style="79" customWidth="1"/>
    <col min="1535" max="1535" width="6.375" style="79" customWidth="1"/>
    <col min="1536" max="1539" width="7.25" style="79"/>
    <col min="1540" max="1540" width="2.875" style="79" customWidth="1"/>
    <col min="1541" max="1541" width="10.125" style="79" customWidth="1"/>
    <col min="1542" max="1542" width="6" style="79" customWidth="1"/>
    <col min="1543" max="1543" width="5.875" style="79" customWidth="1"/>
    <col min="1544" max="1544" width="3.5" style="79" customWidth="1"/>
    <col min="1545" max="1545" width="3.875" style="79" customWidth="1"/>
    <col min="1546" max="1546" width="6.125" style="79" customWidth="1"/>
    <col min="1547" max="1547" width="4.125" style="79" customWidth="1"/>
    <col min="1548" max="1549" width="6.25" style="79" customWidth="1"/>
    <col min="1550" max="1550" width="5.25" style="79" customWidth="1"/>
    <col min="1551" max="1551" width="6.5" style="79" customWidth="1"/>
    <col min="1552" max="1552" width="5.625" style="79" customWidth="1"/>
    <col min="1553" max="1553" width="5.125" style="79" customWidth="1"/>
    <col min="1554" max="1554" width="9" style="79" customWidth="1"/>
    <col min="1555" max="1555" width="12.75" style="79" customWidth="1"/>
    <col min="1556" max="1556" width="3.875" style="79" customWidth="1"/>
    <col min="1557" max="1557" width="5.875" style="79" customWidth="1"/>
    <col min="1558" max="1558" width="5.75" style="79" customWidth="1"/>
    <col min="1559" max="1559" width="4.375" style="79" customWidth="1"/>
    <col min="1560" max="1560" width="8.875" style="79" customWidth="1"/>
    <col min="1561" max="1561" width="8.125" style="79" customWidth="1"/>
    <col min="1562" max="1562" width="9.125" style="79" customWidth="1"/>
    <col min="1563" max="1563" width="0" style="79" hidden="1" customWidth="1"/>
    <col min="1564" max="1564" width="5.75" style="79" customWidth="1"/>
    <col min="1565" max="1565" width="3.625" style="79" customWidth="1"/>
    <col min="1566" max="1566" width="7.625" style="79" customWidth="1"/>
    <col min="1567" max="1567" width="9.375" style="79" customWidth="1"/>
    <col min="1568" max="1568" width="0" style="79" hidden="1" customWidth="1"/>
    <col min="1569" max="1569" width="21.375" style="79" customWidth="1"/>
    <col min="1570" max="1570" width="6.25" style="79" customWidth="1"/>
    <col min="1571" max="1571" width="6" style="79" customWidth="1"/>
    <col min="1572" max="1572" width="16" style="79" customWidth="1"/>
    <col min="1573" max="1785" width="9" style="79" customWidth="1"/>
    <col min="1786" max="1786" width="2.625" style="79" customWidth="1"/>
    <col min="1787" max="1787" width="9.125" style="79" customWidth="1"/>
    <col min="1788" max="1788" width="2.625" style="79" customWidth="1"/>
    <col min="1789" max="1789" width="12" style="79" bestFit="1" customWidth="1"/>
    <col min="1790" max="1790" width="6.625" style="79" customWidth="1"/>
    <col min="1791" max="1791" width="6.375" style="79" customWidth="1"/>
    <col min="1792" max="1795" width="7.25" style="79"/>
    <col min="1796" max="1796" width="2.875" style="79" customWidth="1"/>
    <col min="1797" max="1797" width="10.125" style="79" customWidth="1"/>
    <col min="1798" max="1798" width="6" style="79" customWidth="1"/>
    <col min="1799" max="1799" width="5.875" style="79" customWidth="1"/>
    <col min="1800" max="1800" width="3.5" style="79" customWidth="1"/>
    <col min="1801" max="1801" width="3.875" style="79" customWidth="1"/>
    <col min="1802" max="1802" width="6.125" style="79" customWidth="1"/>
    <col min="1803" max="1803" width="4.125" style="79" customWidth="1"/>
    <col min="1804" max="1805" width="6.25" style="79" customWidth="1"/>
    <col min="1806" max="1806" width="5.25" style="79" customWidth="1"/>
    <col min="1807" max="1807" width="6.5" style="79" customWidth="1"/>
    <col min="1808" max="1808" width="5.625" style="79" customWidth="1"/>
    <col min="1809" max="1809" width="5.125" style="79" customWidth="1"/>
    <col min="1810" max="1810" width="9" style="79" customWidth="1"/>
    <col min="1811" max="1811" width="12.75" style="79" customWidth="1"/>
    <col min="1812" max="1812" width="3.875" style="79" customWidth="1"/>
    <col min="1813" max="1813" width="5.875" style="79" customWidth="1"/>
    <col min="1814" max="1814" width="5.75" style="79" customWidth="1"/>
    <col min="1815" max="1815" width="4.375" style="79" customWidth="1"/>
    <col min="1816" max="1816" width="8.875" style="79" customWidth="1"/>
    <col min="1817" max="1817" width="8.125" style="79" customWidth="1"/>
    <col min="1818" max="1818" width="9.125" style="79" customWidth="1"/>
    <col min="1819" max="1819" width="0" style="79" hidden="1" customWidth="1"/>
    <col min="1820" max="1820" width="5.75" style="79" customWidth="1"/>
    <col min="1821" max="1821" width="3.625" style="79" customWidth="1"/>
    <col min="1822" max="1822" width="7.625" style="79" customWidth="1"/>
    <col min="1823" max="1823" width="9.375" style="79" customWidth="1"/>
    <col min="1824" max="1824" width="0" style="79" hidden="1" customWidth="1"/>
    <col min="1825" max="1825" width="21.375" style="79" customWidth="1"/>
    <col min="1826" max="1826" width="6.25" style="79" customWidth="1"/>
    <col min="1827" max="1827" width="6" style="79" customWidth="1"/>
    <col min="1828" max="1828" width="16" style="79" customWidth="1"/>
    <col min="1829" max="2041" width="9" style="79" customWidth="1"/>
    <col min="2042" max="2042" width="2.625" style="79" customWidth="1"/>
    <col min="2043" max="2043" width="9.125" style="79" customWidth="1"/>
    <col min="2044" max="2044" width="2.625" style="79" customWidth="1"/>
    <col min="2045" max="2045" width="12" style="79" bestFit="1" customWidth="1"/>
    <col min="2046" max="2046" width="6.625" style="79" customWidth="1"/>
    <col min="2047" max="2047" width="6.375" style="79" customWidth="1"/>
    <col min="2048" max="2051" width="7.25" style="79"/>
    <col min="2052" max="2052" width="2.875" style="79" customWidth="1"/>
    <col min="2053" max="2053" width="10.125" style="79" customWidth="1"/>
    <col min="2054" max="2054" width="6" style="79" customWidth="1"/>
    <col min="2055" max="2055" width="5.875" style="79" customWidth="1"/>
    <col min="2056" max="2056" width="3.5" style="79" customWidth="1"/>
    <col min="2057" max="2057" width="3.875" style="79" customWidth="1"/>
    <col min="2058" max="2058" width="6.125" style="79" customWidth="1"/>
    <col min="2059" max="2059" width="4.125" style="79" customWidth="1"/>
    <col min="2060" max="2061" width="6.25" style="79" customWidth="1"/>
    <col min="2062" max="2062" width="5.25" style="79" customWidth="1"/>
    <col min="2063" max="2063" width="6.5" style="79" customWidth="1"/>
    <col min="2064" max="2064" width="5.625" style="79" customWidth="1"/>
    <col min="2065" max="2065" width="5.125" style="79" customWidth="1"/>
    <col min="2066" max="2066" width="9" style="79" customWidth="1"/>
    <col min="2067" max="2067" width="12.75" style="79" customWidth="1"/>
    <col min="2068" max="2068" width="3.875" style="79" customWidth="1"/>
    <col min="2069" max="2069" width="5.875" style="79" customWidth="1"/>
    <col min="2070" max="2070" width="5.75" style="79" customWidth="1"/>
    <col min="2071" max="2071" width="4.375" style="79" customWidth="1"/>
    <col min="2072" max="2072" width="8.875" style="79" customWidth="1"/>
    <col min="2073" max="2073" width="8.125" style="79" customWidth="1"/>
    <col min="2074" max="2074" width="9.125" style="79" customWidth="1"/>
    <col min="2075" max="2075" width="0" style="79" hidden="1" customWidth="1"/>
    <col min="2076" max="2076" width="5.75" style="79" customWidth="1"/>
    <col min="2077" max="2077" width="3.625" style="79" customWidth="1"/>
    <col min="2078" max="2078" width="7.625" style="79" customWidth="1"/>
    <col min="2079" max="2079" width="9.375" style="79" customWidth="1"/>
    <col min="2080" max="2080" width="0" style="79" hidden="1" customWidth="1"/>
    <col min="2081" max="2081" width="21.375" style="79" customWidth="1"/>
    <col min="2082" max="2082" width="6.25" style="79" customWidth="1"/>
    <col min="2083" max="2083" width="6" style="79" customWidth="1"/>
    <col min="2084" max="2084" width="16" style="79" customWidth="1"/>
    <col min="2085" max="2297" width="9" style="79" customWidth="1"/>
    <col min="2298" max="2298" width="2.625" style="79" customWidth="1"/>
    <col min="2299" max="2299" width="9.125" style="79" customWidth="1"/>
    <col min="2300" max="2300" width="2.625" style="79" customWidth="1"/>
    <col min="2301" max="2301" width="12" style="79" bestFit="1" customWidth="1"/>
    <col min="2302" max="2302" width="6.625" style="79" customWidth="1"/>
    <col min="2303" max="2303" width="6.375" style="79" customWidth="1"/>
    <col min="2304" max="2307" width="7.25" style="79"/>
    <col min="2308" max="2308" width="2.875" style="79" customWidth="1"/>
    <col min="2309" max="2309" width="10.125" style="79" customWidth="1"/>
    <col min="2310" max="2310" width="6" style="79" customWidth="1"/>
    <col min="2311" max="2311" width="5.875" style="79" customWidth="1"/>
    <col min="2312" max="2312" width="3.5" style="79" customWidth="1"/>
    <col min="2313" max="2313" width="3.875" style="79" customWidth="1"/>
    <col min="2314" max="2314" width="6.125" style="79" customWidth="1"/>
    <col min="2315" max="2315" width="4.125" style="79" customWidth="1"/>
    <col min="2316" max="2317" width="6.25" style="79" customWidth="1"/>
    <col min="2318" max="2318" width="5.25" style="79" customWidth="1"/>
    <col min="2319" max="2319" width="6.5" style="79" customWidth="1"/>
    <col min="2320" max="2320" width="5.625" style="79" customWidth="1"/>
    <col min="2321" max="2321" width="5.125" style="79" customWidth="1"/>
    <col min="2322" max="2322" width="9" style="79" customWidth="1"/>
    <col min="2323" max="2323" width="12.75" style="79" customWidth="1"/>
    <col min="2324" max="2324" width="3.875" style="79" customWidth="1"/>
    <col min="2325" max="2325" width="5.875" style="79" customWidth="1"/>
    <col min="2326" max="2326" width="5.75" style="79" customWidth="1"/>
    <col min="2327" max="2327" width="4.375" style="79" customWidth="1"/>
    <col min="2328" max="2328" width="8.875" style="79" customWidth="1"/>
    <col min="2329" max="2329" width="8.125" style="79" customWidth="1"/>
    <col min="2330" max="2330" width="9.125" style="79" customWidth="1"/>
    <col min="2331" max="2331" width="0" style="79" hidden="1" customWidth="1"/>
    <col min="2332" max="2332" width="5.75" style="79" customWidth="1"/>
    <col min="2333" max="2333" width="3.625" style="79" customWidth="1"/>
    <col min="2334" max="2334" width="7.625" style="79" customWidth="1"/>
    <col min="2335" max="2335" width="9.375" style="79" customWidth="1"/>
    <col min="2336" max="2336" width="0" style="79" hidden="1" customWidth="1"/>
    <col min="2337" max="2337" width="21.375" style="79" customWidth="1"/>
    <col min="2338" max="2338" width="6.25" style="79" customWidth="1"/>
    <col min="2339" max="2339" width="6" style="79" customWidth="1"/>
    <col min="2340" max="2340" width="16" style="79" customWidth="1"/>
    <col min="2341" max="2553" width="9" style="79" customWidth="1"/>
    <col min="2554" max="2554" width="2.625" style="79" customWidth="1"/>
    <col min="2555" max="2555" width="9.125" style="79" customWidth="1"/>
    <col min="2556" max="2556" width="2.625" style="79" customWidth="1"/>
    <col min="2557" max="2557" width="12" style="79" bestFit="1" customWidth="1"/>
    <col min="2558" max="2558" width="6.625" style="79" customWidth="1"/>
    <col min="2559" max="2559" width="6.375" style="79" customWidth="1"/>
    <col min="2560" max="2563" width="7.25" style="79"/>
    <col min="2564" max="2564" width="2.875" style="79" customWidth="1"/>
    <col min="2565" max="2565" width="10.125" style="79" customWidth="1"/>
    <col min="2566" max="2566" width="6" style="79" customWidth="1"/>
    <col min="2567" max="2567" width="5.875" style="79" customWidth="1"/>
    <col min="2568" max="2568" width="3.5" style="79" customWidth="1"/>
    <col min="2569" max="2569" width="3.875" style="79" customWidth="1"/>
    <col min="2570" max="2570" width="6.125" style="79" customWidth="1"/>
    <col min="2571" max="2571" width="4.125" style="79" customWidth="1"/>
    <col min="2572" max="2573" width="6.25" style="79" customWidth="1"/>
    <col min="2574" max="2574" width="5.25" style="79" customWidth="1"/>
    <col min="2575" max="2575" width="6.5" style="79" customWidth="1"/>
    <col min="2576" max="2576" width="5.625" style="79" customWidth="1"/>
    <col min="2577" max="2577" width="5.125" style="79" customWidth="1"/>
    <col min="2578" max="2578" width="9" style="79" customWidth="1"/>
    <col min="2579" max="2579" width="12.75" style="79" customWidth="1"/>
    <col min="2580" max="2580" width="3.875" style="79" customWidth="1"/>
    <col min="2581" max="2581" width="5.875" style="79" customWidth="1"/>
    <col min="2582" max="2582" width="5.75" style="79" customWidth="1"/>
    <col min="2583" max="2583" width="4.375" style="79" customWidth="1"/>
    <col min="2584" max="2584" width="8.875" style="79" customWidth="1"/>
    <col min="2585" max="2585" width="8.125" style="79" customWidth="1"/>
    <col min="2586" max="2586" width="9.125" style="79" customWidth="1"/>
    <col min="2587" max="2587" width="0" style="79" hidden="1" customWidth="1"/>
    <col min="2588" max="2588" width="5.75" style="79" customWidth="1"/>
    <col min="2589" max="2589" width="3.625" style="79" customWidth="1"/>
    <col min="2590" max="2590" width="7.625" style="79" customWidth="1"/>
    <col min="2591" max="2591" width="9.375" style="79" customWidth="1"/>
    <col min="2592" max="2592" width="0" style="79" hidden="1" customWidth="1"/>
    <col min="2593" max="2593" width="21.375" style="79" customWidth="1"/>
    <col min="2594" max="2594" width="6.25" style="79" customWidth="1"/>
    <col min="2595" max="2595" width="6" style="79" customWidth="1"/>
    <col min="2596" max="2596" width="16" style="79" customWidth="1"/>
    <col min="2597" max="2809" width="9" style="79" customWidth="1"/>
    <col min="2810" max="2810" width="2.625" style="79" customWidth="1"/>
    <col min="2811" max="2811" width="9.125" style="79" customWidth="1"/>
    <col min="2812" max="2812" width="2.625" style="79" customWidth="1"/>
    <col min="2813" max="2813" width="12" style="79" bestFit="1" customWidth="1"/>
    <col min="2814" max="2814" width="6.625" style="79" customWidth="1"/>
    <col min="2815" max="2815" width="6.375" style="79" customWidth="1"/>
    <col min="2816" max="2819" width="7.25" style="79"/>
    <col min="2820" max="2820" width="2.875" style="79" customWidth="1"/>
    <col min="2821" max="2821" width="10.125" style="79" customWidth="1"/>
    <col min="2822" max="2822" width="6" style="79" customWidth="1"/>
    <col min="2823" max="2823" width="5.875" style="79" customWidth="1"/>
    <col min="2824" max="2824" width="3.5" style="79" customWidth="1"/>
    <col min="2825" max="2825" width="3.875" style="79" customWidth="1"/>
    <col min="2826" max="2826" width="6.125" style="79" customWidth="1"/>
    <col min="2827" max="2827" width="4.125" style="79" customWidth="1"/>
    <col min="2828" max="2829" width="6.25" style="79" customWidth="1"/>
    <col min="2830" max="2830" width="5.25" style="79" customWidth="1"/>
    <col min="2831" max="2831" width="6.5" style="79" customWidth="1"/>
    <col min="2832" max="2832" width="5.625" style="79" customWidth="1"/>
    <col min="2833" max="2833" width="5.125" style="79" customWidth="1"/>
    <col min="2834" max="2834" width="9" style="79" customWidth="1"/>
    <col min="2835" max="2835" width="12.75" style="79" customWidth="1"/>
    <col min="2836" max="2836" width="3.875" style="79" customWidth="1"/>
    <col min="2837" max="2837" width="5.875" style="79" customWidth="1"/>
    <col min="2838" max="2838" width="5.75" style="79" customWidth="1"/>
    <col min="2839" max="2839" width="4.375" style="79" customWidth="1"/>
    <col min="2840" max="2840" width="8.875" style="79" customWidth="1"/>
    <col min="2841" max="2841" width="8.125" style="79" customWidth="1"/>
    <col min="2842" max="2842" width="9.125" style="79" customWidth="1"/>
    <col min="2843" max="2843" width="0" style="79" hidden="1" customWidth="1"/>
    <col min="2844" max="2844" width="5.75" style="79" customWidth="1"/>
    <col min="2845" max="2845" width="3.625" style="79" customWidth="1"/>
    <col min="2846" max="2846" width="7.625" style="79" customWidth="1"/>
    <col min="2847" max="2847" width="9.375" style="79" customWidth="1"/>
    <col min="2848" max="2848" width="0" style="79" hidden="1" customWidth="1"/>
    <col min="2849" max="2849" width="21.375" style="79" customWidth="1"/>
    <col min="2850" max="2850" width="6.25" style="79" customWidth="1"/>
    <col min="2851" max="2851" width="6" style="79" customWidth="1"/>
    <col min="2852" max="2852" width="16" style="79" customWidth="1"/>
    <col min="2853" max="3065" width="9" style="79" customWidth="1"/>
    <col min="3066" max="3066" width="2.625" style="79" customWidth="1"/>
    <col min="3067" max="3067" width="9.125" style="79" customWidth="1"/>
    <col min="3068" max="3068" width="2.625" style="79" customWidth="1"/>
    <col min="3069" max="3069" width="12" style="79" bestFit="1" customWidth="1"/>
    <col min="3070" max="3070" width="6.625" style="79" customWidth="1"/>
    <col min="3071" max="3071" width="6.375" style="79" customWidth="1"/>
    <col min="3072" max="3075" width="7.25" style="79"/>
    <col min="3076" max="3076" width="2.875" style="79" customWidth="1"/>
    <col min="3077" max="3077" width="10.125" style="79" customWidth="1"/>
    <col min="3078" max="3078" width="6" style="79" customWidth="1"/>
    <col min="3079" max="3079" width="5.875" style="79" customWidth="1"/>
    <col min="3080" max="3080" width="3.5" style="79" customWidth="1"/>
    <col min="3081" max="3081" width="3.875" style="79" customWidth="1"/>
    <col min="3082" max="3082" width="6.125" style="79" customWidth="1"/>
    <col min="3083" max="3083" width="4.125" style="79" customWidth="1"/>
    <col min="3084" max="3085" width="6.25" style="79" customWidth="1"/>
    <col min="3086" max="3086" width="5.25" style="79" customWidth="1"/>
    <col min="3087" max="3087" width="6.5" style="79" customWidth="1"/>
    <col min="3088" max="3088" width="5.625" style="79" customWidth="1"/>
    <col min="3089" max="3089" width="5.125" style="79" customWidth="1"/>
    <col min="3090" max="3090" width="9" style="79" customWidth="1"/>
    <col min="3091" max="3091" width="12.75" style="79" customWidth="1"/>
    <col min="3092" max="3092" width="3.875" style="79" customWidth="1"/>
    <col min="3093" max="3093" width="5.875" style="79" customWidth="1"/>
    <col min="3094" max="3094" width="5.75" style="79" customWidth="1"/>
    <col min="3095" max="3095" width="4.375" style="79" customWidth="1"/>
    <col min="3096" max="3096" width="8.875" style="79" customWidth="1"/>
    <col min="3097" max="3097" width="8.125" style="79" customWidth="1"/>
    <col min="3098" max="3098" width="9.125" style="79" customWidth="1"/>
    <col min="3099" max="3099" width="0" style="79" hidden="1" customWidth="1"/>
    <col min="3100" max="3100" width="5.75" style="79" customWidth="1"/>
    <col min="3101" max="3101" width="3.625" style="79" customWidth="1"/>
    <col min="3102" max="3102" width="7.625" style="79" customWidth="1"/>
    <col min="3103" max="3103" width="9.375" style="79" customWidth="1"/>
    <col min="3104" max="3104" width="0" style="79" hidden="1" customWidth="1"/>
    <col min="3105" max="3105" width="21.375" style="79" customWidth="1"/>
    <col min="3106" max="3106" width="6.25" style="79" customWidth="1"/>
    <col min="3107" max="3107" width="6" style="79" customWidth="1"/>
    <col min="3108" max="3108" width="16" style="79" customWidth="1"/>
    <col min="3109" max="3321" width="9" style="79" customWidth="1"/>
    <col min="3322" max="3322" width="2.625" style="79" customWidth="1"/>
    <col min="3323" max="3323" width="9.125" style="79" customWidth="1"/>
    <col min="3324" max="3324" width="2.625" style="79" customWidth="1"/>
    <col min="3325" max="3325" width="12" style="79" bestFit="1" customWidth="1"/>
    <col min="3326" max="3326" width="6.625" style="79" customWidth="1"/>
    <col min="3327" max="3327" width="6.375" style="79" customWidth="1"/>
    <col min="3328" max="3331" width="7.25" style="79"/>
    <col min="3332" max="3332" width="2.875" style="79" customWidth="1"/>
    <col min="3333" max="3333" width="10.125" style="79" customWidth="1"/>
    <col min="3334" max="3334" width="6" style="79" customWidth="1"/>
    <col min="3335" max="3335" width="5.875" style="79" customWidth="1"/>
    <col min="3336" max="3336" width="3.5" style="79" customWidth="1"/>
    <col min="3337" max="3337" width="3.875" style="79" customWidth="1"/>
    <col min="3338" max="3338" width="6.125" style="79" customWidth="1"/>
    <col min="3339" max="3339" width="4.125" style="79" customWidth="1"/>
    <col min="3340" max="3341" width="6.25" style="79" customWidth="1"/>
    <col min="3342" max="3342" width="5.25" style="79" customWidth="1"/>
    <col min="3343" max="3343" width="6.5" style="79" customWidth="1"/>
    <col min="3344" max="3344" width="5.625" style="79" customWidth="1"/>
    <col min="3345" max="3345" width="5.125" style="79" customWidth="1"/>
    <col min="3346" max="3346" width="9" style="79" customWidth="1"/>
    <col min="3347" max="3347" width="12.75" style="79" customWidth="1"/>
    <col min="3348" max="3348" width="3.875" style="79" customWidth="1"/>
    <col min="3349" max="3349" width="5.875" style="79" customWidth="1"/>
    <col min="3350" max="3350" width="5.75" style="79" customWidth="1"/>
    <col min="3351" max="3351" width="4.375" style="79" customWidth="1"/>
    <col min="3352" max="3352" width="8.875" style="79" customWidth="1"/>
    <col min="3353" max="3353" width="8.125" style="79" customWidth="1"/>
    <col min="3354" max="3354" width="9.125" style="79" customWidth="1"/>
    <col min="3355" max="3355" width="0" style="79" hidden="1" customWidth="1"/>
    <col min="3356" max="3356" width="5.75" style="79" customWidth="1"/>
    <col min="3357" max="3357" width="3.625" style="79" customWidth="1"/>
    <col min="3358" max="3358" width="7.625" style="79" customWidth="1"/>
    <col min="3359" max="3359" width="9.375" style="79" customWidth="1"/>
    <col min="3360" max="3360" width="0" style="79" hidden="1" customWidth="1"/>
    <col min="3361" max="3361" width="21.375" style="79" customWidth="1"/>
    <col min="3362" max="3362" width="6.25" style="79" customWidth="1"/>
    <col min="3363" max="3363" width="6" style="79" customWidth="1"/>
    <col min="3364" max="3364" width="16" style="79" customWidth="1"/>
    <col min="3365" max="3577" width="9" style="79" customWidth="1"/>
    <col min="3578" max="3578" width="2.625" style="79" customWidth="1"/>
    <col min="3579" max="3579" width="9.125" style="79" customWidth="1"/>
    <col min="3580" max="3580" width="2.625" style="79" customWidth="1"/>
    <col min="3581" max="3581" width="12" style="79" bestFit="1" customWidth="1"/>
    <col min="3582" max="3582" width="6.625" style="79" customWidth="1"/>
    <col min="3583" max="3583" width="6.375" style="79" customWidth="1"/>
    <col min="3584" max="3587" width="7.25" style="79"/>
    <col min="3588" max="3588" width="2.875" style="79" customWidth="1"/>
    <col min="3589" max="3589" width="10.125" style="79" customWidth="1"/>
    <col min="3590" max="3590" width="6" style="79" customWidth="1"/>
    <col min="3591" max="3591" width="5.875" style="79" customWidth="1"/>
    <col min="3592" max="3592" width="3.5" style="79" customWidth="1"/>
    <col min="3593" max="3593" width="3.875" style="79" customWidth="1"/>
    <col min="3594" max="3594" width="6.125" style="79" customWidth="1"/>
    <col min="3595" max="3595" width="4.125" style="79" customWidth="1"/>
    <col min="3596" max="3597" width="6.25" style="79" customWidth="1"/>
    <col min="3598" max="3598" width="5.25" style="79" customWidth="1"/>
    <col min="3599" max="3599" width="6.5" style="79" customWidth="1"/>
    <col min="3600" max="3600" width="5.625" style="79" customWidth="1"/>
    <col min="3601" max="3601" width="5.125" style="79" customWidth="1"/>
    <col min="3602" max="3602" width="9" style="79" customWidth="1"/>
    <col min="3603" max="3603" width="12.75" style="79" customWidth="1"/>
    <col min="3604" max="3604" width="3.875" style="79" customWidth="1"/>
    <col min="3605" max="3605" width="5.875" style="79" customWidth="1"/>
    <col min="3606" max="3606" width="5.75" style="79" customWidth="1"/>
    <col min="3607" max="3607" width="4.375" style="79" customWidth="1"/>
    <col min="3608" max="3608" width="8.875" style="79" customWidth="1"/>
    <col min="3609" max="3609" width="8.125" style="79" customWidth="1"/>
    <col min="3610" max="3610" width="9.125" style="79" customWidth="1"/>
    <col min="3611" max="3611" width="0" style="79" hidden="1" customWidth="1"/>
    <col min="3612" max="3612" width="5.75" style="79" customWidth="1"/>
    <col min="3613" max="3613" width="3.625" style="79" customWidth="1"/>
    <col min="3614" max="3614" width="7.625" style="79" customWidth="1"/>
    <col min="3615" max="3615" width="9.375" style="79" customWidth="1"/>
    <col min="3616" max="3616" width="0" style="79" hidden="1" customWidth="1"/>
    <col min="3617" max="3617" width="21.375" style="79" customWidth="1"/>
    <col min="3618" max="3618" width="6.25" style="79" customWidth="1"/>
    <col min="3619" max="3619" width="6" style="79" customWidth="1"/>
    <col min="3620" max="3620" width="16" style="79" customWidth="1"/>
    <col min="3621" max="3833" width="9" style="79" customWidth="1"/>
    <col min="3834" max="3834" width="2.625" style="79" customWidth="1"/>
    <col min="3835" max="3835" width="9.125" style="79" customWidth="1"/>
    <col min="3836" max="3836" width="2.625" style="79" customWidth="1"/>
    <col min="3837" max="3837" width="12" style="79" bestFit="1" customWidth="1"/>
    <col min="3838" max="3838" width="6.625" style="79" customWidth="1"/>
    <col min="3839" max="3839" width="6.375" style="79" customWidth="1"/>
    <col min="3840" max="3843" width="7.25" style="79"/>
    <col min="3844" max="3844" width="2.875" style="79" customWidth="1"/>
    <col min="3845" max="3845" width="10.125" style="79" customWidth="1"/>
    <col min="3846" max="3846" width="6" style="79" customWidth="1"/>
    <col min="3847" max="3847" width="5.875" style="79" customWidth="1"/>
    <col min="3848" max="3848" width="3.5" style="79" customWidth="1"/>
    <col min="3849" max="3849" width="3.875" style="79" customWidth="1"/>
    <col min="3850" max="3850" width="6.125" style="79" customWidth="1"/>
    <col min="3851" max="3851" width="4.125" style="79" customWidth="1"/>
    <col min="3852" max="3853" width="6.25" style="79" customWidth="1"/>
    <col min="3854" max="3854" width="5.25" style="79" customWidth="1"/>
    <col min="3855" max="3855" width="6.5" style="79" customWidth="1"/>
    <col min="3856" max="3856" width="5.625" style="79" customWidth="1"/>
    <col min="3857" max="3857" width="5.125" style="79" customWidth="1"/>
    <col min="3858" max="3858" width="9" style="79" customWidth="1"/>
    <col min="3859" max="3859" width="12.75" style="79" customWidth="1"/>
    <col min="3860" max="3860" width="3.875" style="79" customWidth="1"/>
    <col min="3861" max="3861" width="5.875" style="79" customWidth="1"/>
    <col min="3862" max="3862" width="5.75" style="79" customWidth="1"/>
    <col min="3863" max="3863" width="4.375" style="79" customWidth="1"/>
    <col min="3864" max="3864" width="8.875" style="79" customWidth="1"/>
    <col min="3865" max="3865" width="8.125" style="79" customWidth="1"/>
    <col min="3866" max="3866" width="9.125" style="79" customWidth="1"/>
    <col min="3867" max="3867" width="0" style="79" hidden="1" customWidth="1"/>
    <col min="3868" max="3868" width="5.75" style="79" customWidth="1"/>
    <col min="3869" max="3869" width="3.625" style="79" customWidth="1"/>
    <col min="3870" max="3870" width="7.625" style="79" customWidth="1"/>
    <col min="3871" max="3871" width="9.375" style="79" customWidth="1"/>
    <col min="3872" max="3872" width="0" style="79" hidden="1" customWidth="1"/>
    <col min="3873" max="3873" width="21.375" style="79" customWidth="1"/>
    <col min="3874" max="3874" width="6.25" style="79" customWidth="1"/>
    <col min="3875" max="3875" width="6" style="79" customWidth="1"/>
    <col min="3876" max="3876" width="16" style="79" customWidth="1"/>
    <col min="3877" max="4089" width="9" style="79" customWidth="1"/>
    <col min="4090" max="4090" width="2.625" style="79" customWidth="1"/>
    <col min="4091" max="4091" width="9.125" style="79" customWidth="1"/>
    <col min="4092" max="4092" width="2.625" style="79" customWidth="1"/>
    <col min="4093" max="4093" width="12" style="79" bestFit="1" customWidth="1"/>
    <col min="4094" max="4094" width="6.625" style="79" customWidth="1"/>
    <col min="4095" max="4095" width="6.375" style="79" customWidth="1"/>
    <col min="4096" max="4099" width="7.25" style="79"/>
    <col min="4100" max="4100" width="2.875" style="79" customWidth="1"/>
    <col min="4101" max="4101" width="10.125" style="79" customWidth="1"/>
    <col min="4102" max="4102" width="6" style="79" customWidth="1"/>
    <col min="4103" max="4103" width="5.875" style="79" customWidth="1"/>
    <col min="4104" max="4104" width="3.5" style="79" customWidth="1"/>
    <col min="4105" max="4105" width="3.875" style="79" customWidth="1"/>
    <col min="4106" max="4106" width="6.125" style="79" customWidth="1"/>
    <col min="4107" max="4107" width="4.125" style="79" customWidth="1"/>
    <col min="4108" max="4109" width="6.25" style="79" customWidth="1"/>
    <col min="4110" max="4110" width="5.25" style="79" customWidth="1"/>
    <col min="4111" max="4111" width="6.5" style="79" customWidth="1"/>
    <col min="4112" max="4112" width="5.625" style="79" customWidth="1"/>
    <col min="4113" max="4113" width="5.125" style="79" customWidth="1"/>
    <col min="4114" max="4114" width="9" style="79" customWidth="1"/>
    <col min="4115" max="4115" width="12.75" style="79" customWidth="1"/>
    <col min="4116" max="4116" width="3.875" style="79" customWidth="1"/>
    <col min="4117" max="4117" width="5.875" style="79" customWidth="1"/>
    <col min="4118" max="4118" width="5.75" style="79" customWidth="1"/>
    <col min="4119" max="4119" width="4.375" style="79" customWidth="1"/>
    <col min="4120" max="4120" width="8.875" style="79" customWidth="1"/>
    <col min="4121" max="4121" width="8.125" style="79" customWidth="1"/>
    <col min="4122" max="4122" width="9.125" style="79" customWidth="1"/>
    <col min="4123" max="4123" width="0" style="79" hidden="1" customWidth="1"/>
    <col min="4124" max="4124" width="5.75" style="79" customWidth="1"/>
    <col min="4125" max="4125" width="3.625" style="79" customWidth="1"/>
    <col min="4126" max="4126" width="7.625" style="79" customWidth="1"/>
    <col min="4127" max="4127" width="9.375" style="79" customWidth="1"/>
    <col min="4128" max="4128" width="0" style="79" hidden="1" customWidth="1"/>
    <col min="4129" max="4129" width="21.375" style="79" customWidth="1"/>
    <col min="4130" max="4130" width="6.25" style="79" customWidth="1"/>
    <col min="4131" max="4131" width="6" style="79" customWidth="1"/>
    <col min="4132" max="4132" width="16" style="79" customWidth="1"/>
    <col min="4133" max="4345" width="9" style="79" customWidth="1"/>
    <col min="4346" max="4346" width="2.625" style="79" customWidth="1"/>
    <col min="4347" max="4347" width="9.125" style="79" customWidth="1"/>
    <col min="4348" max="4348" width="2.625" style="79" customWidth="1"/>
    <col min="4349" max="4349" width="12" style="79" bestFit="1" customWidth="1"/>
    <col min="4350" max="4350" width="6.625" style="79" customWidth="1"/>
    <col min="4351" max="4351" width="6.375" style="79" customWidth="1"/>
    <col min="4352" max="4355" width="7.25" style="79"/>
    <col min="4356" max="4356" width="2.875" style="79" customWidth="1"/>
    <col min="4357" max="4357" width="10.125" style="79" customWidth="1"/>
    <col min="4358" max="4358" width="6" style="79" customWidth="1"/>
    <col min="4359" max="4359" width="5.875" style="79" customWidth="1"/>
    <col min="4360" max="4360" width="3.5" style="79" customWidth="1"/>
    <col min="4361" max="4361" width="3.875" style="79" customWidth="1"/>
    <col min="4362" max="4362" width="6.125" style="79" customWidth="1"/>
    <col min="4363" max="4363" width="4.125" style="79" customWidth="1"/>
    <col min="4364" max="4365" width="6.25" style="79" customWidth="1"/>
    <col min="4366" max="4366" width="5.25" style="79" customWidth="1"/>
    <col min="4367" max="4367" width="6.5" style="79" customWidth="1"/>
    <col min="4368" max="4368" width="5.625" style="79" customWidth="1"/>
    <col min="4369" max="4369" width="5.125" style="79" customWidth="1"/>
    <col min="4370" max="4370" width="9" style="79" customWidth="1"/>
    <col min="4371" max="4371" width="12.75" style="79" customWidth="1"/>
    <col min="4372" max="4372" width="3.875" style="79" customWidth="1"/>
    <col min="4373" max="4373" width="5.875" style="79" customWidth="1"/>
    <col min="4374" max="4374" width="5.75" style="79" customWidth="1"/>
    <col min="4375" max="4375" width="4.375" style="79" customWidth="1"/>
    <col min="4376" max="4376" width="8.875" style="79" customWidth="1"/>
    <col min="4377" max="4377" width="8.125" style="79" customWidth="1"/>
    <col min="4378" max="4378" width="9.125" style="79" customWidth="1"/>
    <col min="4379" max="4379" width="0" style="79" hidden="1" customWidth="1"/>
    <col min="4380" max="4380" width="5.75" style="79" customWidth="1"/>
    <col min="4381" max="4381" width="3.625" style="79" customWidth="1"/>
    <col min="4382" max="4382" width="7.625" style="79" customWidth="1"/>
    <col min="4383" max="4383" width="9.375" style="79" customWidth="1"/>
    <col min="4384" max="4384" width="0" style="79" hidden="1" customWidth="1"/>
    <col min="4385" max="4385" width="21.375" style="79" customWidth="1"/>
    <col min="4386" max="4386" width="6.25" style="79" customWidth="1"/>
    <col min="4387" max="4387" width="6" style="79" customWidth="1"/>
    <col min="4388" max="4388" width="16" style="79" customWidth="1"/>
    <col min="4389" max="4601" width="9" style="79" customWidth="1"/>
    <col min="4602" max="4602" width="2.625" style="79" customWidth="1"/>
    <col min="4603" max="4603" width="9.125" style="79" customWidth="1"/>
    <col min="4604" max="4604" width="2.625" style="79" customWidth="1"/>
    <col min="4605" max="4605" width="12" style="79" bestFit="1" customWidth="1"/>
    <col min="4606" max="4606" width="6.625" style="79" customWidth="1"/>
    <col min="4607" max="4607" width="6.375" style="79" customWidth="1"/>
    <col min="4608" max="4611" width="7.25" style="79"/>
    <col min="4612" max="4612" width="2.875" style="79" customWidth="1"/>
    <col min="4613" max="4613" width="10.125" style="79" customWidth="1"/>
    <col min="4614" max="4614" width="6" style="79" customWidth="1"/>
    <col min="4615" max="4615" width="5.875" style="79" customWidth="1"/>
    <col min="4616" max="4616" width="3.5" style="79" customWidth="1"/>
    <col min="4617" max="4617" width="3.875" style="79" customWidth="1"/>
    <col min="4618" max="4618" width="6.125" style="79" customWidth="1"/>
    <col min="4619" max="4619" width="4.125" style="79" customWidth="1"/>
    <col min="4620" max="4621" width="6.25" style="79" customWidth="1"/>
    <col min="4622" max="4622" width="5.25" style="79" customWidth="1"/>
    <col min="4623" max="4623" width="6.5" style="79" customWidth="1"/>
    <col min="4624" max="4624" width="5.625" style="79" customWidth="1"/>
    <col min="4625" max="4625" width="5.125" style="79" customWidth="1"/>
    <col min="4626" max="4626" width="9" style="79" customWidth="1"/>
    <col min="4627" max="4627" width="12.75" style="79" customWidth="1"/>
    <col min="4628" max="4628" width="3.875" style="79" customWidth="1"/>
    <col min="4629" max="4629" width="5.875" style="79" customWidth="1"/>
    <col min="4630" max="4630" width="5.75" style="79" customWidth="1"/>
    <col min="4631" max="4631" width="4.375" style="79" customWidth="1"/>
    <col min="4632" max="4632" width="8.875" style="79" customWidth="1"/>
    <col min="4633" max="4633" width="8.125" style="79" customWidth="1"/>
    <col min="4634" max="4634" width="9.125" style="79" customWidth="1"/>
    <col min="4635" max="4635" width="0" style="79" hidden="1" customWidth="1"/>
    <col min="4636" max="4636" width="5.75" style="79" customWidth="1"/>
    <col min="4637" max="4637" width="3.625" style="79" customWidth="1"/>
    <col min="4638" max="4638" width="7.625" style="79" customWidth="1"/>
    <col min="4639" max="4639" width="9.375" style="79" customWidth="1"/>
    <col min="4640" max="4640" width="0" style="79" hidden="1" customWidth="1"/>
    <col min="4641" max="4641" width="21.375" style="79" customWidth="1"/>
    <col min="4642" max="4642" width="6.25" style="79" customWidth="1"/>
    <col min="4643" max="4643" width="6" style="79" customWidth="1"/>
    <col min="4644" max="4644" width="16" style="79" customWidth="1"/>
    <col min="4645" max="4857" width="9" style="79" customWidth="1"/>
    <col min="4858" max="4858" width="2.625" style="79" customWidth="1"/>
    <col min="4859" max="4859" width="9.125" style="79" customWidth="1"/>
    <col min="4860" max="4860" width="2.625" style="79" customWidth="1"/>
    <col min="4861" max="4861" width="12" style="79" bestFit="1" customWidth="1"/>
    <col min="4862" max="4862" width="6.625" style="79" customWidth="1"/>
    <col min="4863" max="4863" width="6.375" style="79" customWidth="1"/>
    <col min="4864" max="4867" width="7.25" style="79"/>
    <col min="4868" max="4868" width="2.875" style="79" customWidth="1"/>
    <col min="4869" max="4869" width="10.125" style="79" customWidth="1"/>
    <col min="4870" max="4870" width="6" style="79" customWidth="1"/>
    <col min="4871" max="4871" width="5.875" style="79" customWidth="1"/>
    <col min="4872" max="4872" width="3.5" style="79" customWidth="1"/>
    <col min="4873" max="4873" width="3.875" style="79" customWidth="1"/>
    <col min="4874" max="4874" width="6.125" style="79" customWidth="1"/>
    <col min="4875" max="4875" width="4.125" style="79" customWidth="1"/>
    <col min="4876" max="4877" width="6.25" style="79" customWidth="1"/>
    <col min="4878" max="4878" width="5.25" style="79" customWidth="1"/>
    <col min="4879" max="4879" width="6.5" style="79" customWidth="1"/>
    <col min="4880" max="4880" width="5.625" style="79" customWidth="1"/>
    <col min="4881" max="4881" width="5.125" style="79" customWidth="1"/>
    <col min="4882" max="4882" width="9" style="79" customWidth="1"/>
    <col min="4883" max="4883" width="12.75" style="79" customWidth="1"/>
    <col min="4884" max="4884" width="3.875" style="79" customWidth="1"/>
    <col min="4885" max="4885" width="5.875" style="79" customWidth="1"/>
    <col min="4886" max="4886" width="5.75" style="79" customWidth="1"/>
    <col min="4887" max="4887" width="4.375" style="79" customWidth="1"/>
    <col min="4888" max="4888" width="8.875" style="79" customWidth="1"/>
    <col min="4889" max="4889" width="8.125" style="79" customWidth="1"/>
    <col min="4890" max="4890" width="9.125" style="79" customWidth="1"/>
    <col min="4891" max="4891" width="0" style="79" hidden="1" customWidth="1"/>
    <col min="4892" max="4892" width="5.75" style="79" customWidth="1"/>
    <col min="4893" max="4893" width="3.625" style="79" customWidth="1"/>
    <col min="4894" max="4894" width="7.625" style="79" customWidth="1"/>
    <col min="4895" max="4895" width="9.375" style="79" customWidth="1"/>
    <col min="4896" max="4896" width="0" style="79" hidden="1" customWidth="1"/>
    <col min="4897" max="4897" width="21.375" style="79" customWidth="1"/>
    <col min="4898" max="4898" width="6.25" style="79" customWidth="1"/>
    <col min="4899" max="4899" width="6" style="79" customWidth="1"/>
    <col min="4900" max="4900" width="16" style="79" customWidth="1"/>
    <col min="4901" max="5113" width="9" style="79" customWidth="1"/>
    <col min="5114" max="5114" width="2.625" style="79" customWidth="1"/>
    <col min="5115" max="5115" width="9.125" style="79" customWidth="1"/>
    <col min="5116" max="5116" width="2.625" style="79" customWidth="1"/>
    <col min="5117" max="5117" width="12" style="79" bestFit="1" customWidth="1"/>
    <col min="5118" max="5118" width="6.625" style="79" customWidth="1"/>
    <col min="5119" max="5119" width="6.375" style="79" customWidth="1"/>
    <col min="5120" max="5123" width="7.25" style="79"/>
    <col min="5124" max="5124" width="2.875" style="79" customWidth="1"/>
    <col min="5125" max="5125" width="10.125" style="79" customWidth="1"/>
    <col min="5126" max="5126" width="6" style="79" customWidth="1"/>
    <col min="5127" max="5127" width="5.875" style="79" customWidth="1"/>
    <col min="5128" max="5128" width="3.5" style="79" customWidth="1"/>
    <col min="5129" max="5129" width="3.875" style="79" customWidth="1"/>
    <col min="5130" max="5130" width="6.125" style="79" customWidth="1"/>
    <col min="5131" max="5131" width="4.125" style="79" customWidth="1"/>
    <col min="5132" max="5133" width="6.25" style="79" customWidth="1"/>
    <col min="5134" max="5134" width="5.25" style="79" customWidth="1"/>
    <col min="5135" max="5135" width="6.5" style="79" customWidth="1"/>
    <col min="5136" max="5136" width="5.625" style="79" customWidth="1"/>
    <col min="5137" max="5137" width="5.125" style="79" customWidth="1"/>
    <col min="5138" max="5138" width="9" style="79" customWidth="1"/>
    <col min="5139" max="5139" width="12.75" style="79" customWidth="1"/>
    <col min="5140" max="5140" width="3.875" style="79" customWidth="1"/>
    <col min="5141" max="5141" width="5.875" style="79" customWidth="1"/>
    <col min="5142" max="5142" width="5.75" style="79" customWidth="1"/>
    <col min="5143" max="5143" width="4.375" style="79" customWidth="1"/>
    <col min="5144" max="5144" width="8.875" style="79" customWidth="1"/>
    <col min="5145" max="5145" width="8.125" style="79" customWidth="1"/>
    <col min="5146" max="5146" width="9.125" style="79" customWidth="1"/>
    <col min="5147" max="5147" width="0" style="79" hidden="1" customWidth="1"/>
    <col min="5148" max="5148" width="5.75" style="79" customWidth="1"/>
    <col min="5149" max="5149" width="3.625" style="79" customWidth="1"/>
    <col min="5150" max="5150" width="7.625" style="79" customWidth="1"/>
    <col min="5151" max="5151" width="9.375" style="79" customWidth="1"/>
    <col min="5152" max="5152" width="0" style="79" hidden="1" customWidth="1"/>
    <col min="5153" max="5153" width="21.375" style="79" customWidth="1"/>
    <col min="5154" max="5154" width="6.25" style="79" customWidth="1"/>
    <col min="5155" max="5155" width="6" style="79" customWidth="1"/>
    <col min="5156" max="5156" width="16" style="79" customWidth="1"/>
    <col min="5157" max="5369" width="9" style="79" customWidth="1"/>
    <col min="5370" max="5370" width="2.625" style="79" customWidth="1"/>
    <col min="5371" max="5371" width="9.125" style="79" customWidth="1"/>
    <col min="5372" max="5372" width="2.625" style="79" customWidth="1"/>
    <col min="5373" max="5373" width="12" style="79" bestFit="1" customWidth="1"/>
    <col min="5374" max="5374" width="6.625" style="79" customWidth="1"/>
    <col min="5375" max="5375" width="6.375" style="79" customWidth="1"/>
    <col min="5376" max="5379" width="7.25" style="79"/>
    <col min="5380" max="5380" width="2.875" style="79" customWidth="1"/>
    <col min="5381" max="5381" width="10.125" style="79" customWidth="1"/>
    <col min="5382" max="5382" width="6" style="79" customWidth="1"/>
    <col min="5383" max="5383" width="5.875" style="79" customWidth="1"/>
    <col min="5384" max="5384" width="3.5" style="79" customWidth="1"/>
    <col min="5385" max="5385" width="3.875" style="79" customWidth="1"/>
    <col min="5386" max="5386" width="6.125" style="79" customWidth="1"/>
    <col min="5387" max="5387" width="4.125" style="79" customWidth="1"/>
    <col min="5388" max="5389" width="6.25" style="79" customWidth="1"/>
    <col min="5390" max="5390" width="5.25" style="79" customWidth="1"/>
    <col min="5391" max="5391" width="6.5" style="79" customWidth="1"/>
    <col min="5392" max="5392" width="5.625" style="79" customWidth="1"/>
    <col min="5393" max="5393" width="5.125" style="79" customWidth="1"/>
    <col min="5394" max="5394" width="9" style="79" customWidth="1"/>
    <col min="5395" max="5395" width="12.75" style="79" customWidth="1"/>
    <col min="5396" max="5396" width="3.875" style="79" customWidth="1"/>
    <col min="5397" max="5397" width="5.875" style="79" customWidth="1"/>
    <col min="5398" max="5398" width="5.75" style="79" customWidth="1"/>
    <col min="5399" max="5399" width="4.375" style="79" customWidth="1"/>
    <col min="5400" max="5400" width="8.875" style="79" customWidth="1"/>
    <col min="5401" max="5401" width="8.125" style="79" customWidth="1"/>
    <col min="5402" max="5402" width="9.125" style="79" customWidth="1"/>
    <col min="5403" max="5403" width="0" style="79" hidden="1" customWidth="1"/>
    <col min="5404" max="5404" width="5.75" style="79" customWidth="1"/>
    <col min="5405" max="5405" width="3.625" style="79" customWidth="1"/>
    <col min="5406" max="5406" width="7.625" style="79" customWidth="1"/>
    <col min="5407" max="5407" width="9.375" style="79" customWidth="1"/>
    <col min="5408" max="5408" width="0" style="79" hidden="1" customWidth="1"/>
    <col min="5409" max="5409" width="21.375" style="79" customWidth="1"/>
    <col min="5410" max="5410" width="6.25" style="79" customWidth="1"/>
    <col min="5411" max="5411" width="6" style="79" customWidth="1"/>
    <col min="5412" max="5412" width="16" style="79" customWidth="1"/>
    <col min="5413" max="5625" width="9" style="79" customWidth="1"/>
    <col min="5626" max="5626" width="2.625" style="79" customWidth="1"/>
    <col min="5627" max="5627" width="9.125" style="79" customWidth="1"/>
    <col min="5628" max="5628" width="2.625" style="79" customWidth="1"/>
    <col min="5629" max="5629" width="12" style="79" bestFit="1" customWidth="1"/>
    <col min="5630" max="5630" width="6.625" style="79" customWidth="1"/>
    <col min="5631" max="5631" width="6.375" style="79" customWidth="1"/>
    <col min="5632" max="5635" width="7.25" style="79"/>
    <col min="5636" max="5636" width="2.875" style="79" customWidth="1"/>
    <col min="5637" max="5637" width="10.125" style="79" customWidth="1"/>
    <col min="5638" max="5638" width="6" style="79" customWidth="1"/>
    <col min="5639" max="5639" width="5.875" style="79" customWidth="1"/>
    <col min="5640" max="5640" width="3.5" style="79" customWidth="1"/>
    <col min="5641" max="5641" width="3.875" style="79" customWidth="1"/>
    <col min="5642" max="5642" width="6.125" style="79" customWidth="1"/>
    <col min="5643" max="5643" width="4.125" style="79" customWidth="1"/>
    <col min="5644" max="5645" width="6.25" style="79" customWidth="1"/>
    <col min="5646" max="5646" width="5.25" style="79" customWidth="1"/>
    <col min="5647" max="5647" width="6.5" style="79" customWidth="1"/>
    <col min="5648" max="5648" width="5.625" style="79" customWidth="1"/>
    <col min="5649" max="5649" width="5.125" style="79" customWidth="1"/>
    <col min="5650" max="5650" width="9" style="79" customWidth="1"/>
    <col min="5651" max="5651" width="12.75" style="79" customWidth="1"/>
    <col min="5652" max="5652" width="3.875" style="79" customWidth="1"/>
    <col min="5653" max="5653" width="5.875" style="79" customWidth="1"/>
    <col min="5654" max="5654" width="5.75" style="79" customWidth="1"/>
    <col min="5655" max="5655" width="4.375" style="79" customWidth="1"/>
    <col min="5656" max="5656" width="8.875" style="79" customWidth="1"/>
    <col min="5657" max="5657" width="8.125" style="79" customWidth="1"/>
    <col min="5658" max="5658" width="9.125" style="79" customWidth="1"/>
    <col min="5659" max="5659" width="0" style="79" hidden="1" customWidth="1"/>
    <col min="5660" max="5660" width="5.75" style="79" customWidth="1"/>
    <col min="5661" max="5661" width="3.625" style="79" customWidth="1"/>
    <col min="5662" max="5662" width="7.625" style="79" customWidth="1"/>
    <col min="5663" max="5663" width="9.375" style="79" customWidth="1"/>
    <col min="5664" max="5664" width="0" style="79" hidden="1" customWidth="1"/>
    <col min="5665" max="5665" width="21.375" style="79" customWidth="1"/>
    <col min="5666" max="5666" width="6.25" style="79" customWidth="1"/>
    <col min="5667" max="5667" width="6" style="79" customWidth="1"/>
    <col min="5668" max="5668" width="16" style="79" customWidth="1"/>
    <col min="5669" max="5881" width="9" style="79" customWidth="1"/>
    <col min="5882" max="5882" width="2.625" style="79" customWidth="1"/>
    <col min="5883" max="5883" width="9.125" style="79" customWidth="1"/>
    <col min="5884" max="5884" width="2.625" style="79" customWidth="1"/>
    <col min="5885" max="5885" width="12" style="79" bestFit="1" customWidth="1"/>
    <col min="5886" max="5886" width="6.625" style="79" customWidth="1"/>
    <col min="5887" max="5887" width="6.375" style="79" customWidth="1"/>
    <col min="5888" max="5891" width="7.25" style="79"/>
    <col min="5892" max="5892" width="2.875" style="79" customWidth="1"/>
    <col min="5893" max="5893" width="10.125" style="79" customWidth="1"/>
    <col min="5894" max="5894" width="6" style="79" customWidth="1"/>
    <col min="5895" max="5895" width="5.875" style="79" customWidth="1"/>
    <col min="5896" max="5896" width="3.5" style="79" customWidth="1"/>
    <col min="5897" max="5897" width="3.875" style="79" customWidth="1"/>
    <col min="5898" max="5898" width="6.125" style="79" customWidth="1"/>
    <col min="5899" max="5899" width="4.125" style="79" customWidth="1"/>
    <col min="5900" max="5901" width="6.25" style="79" customWidth="1"/>
    <col min="5902" max="5902" width="5.25" style="79" customWidth="1"/>
    <col min="5903" max="5903" width="6.5" style="79" customWidth="1"/>
    <col min="5904" max="5904" width="5.625" style="79" customWidth="1"/>
    <col min="5905" max="5905" width="5.125" style="79" customWidth="1"/>
    <col min="5906" max="5906" width="9" style="79" customWidth="1"/>
    <col min="5907" max="5907" width="12.75" style="79" customWidth="1"/>
    <col min="5908" max="5908" width="3.875" style="79" customWidth="1"/>
    <col min="5909" max="5909" width="5.875" style="79" customWidth="1"/>
    <col min="5910" max="5910" width="5.75" style="79" customWidth="1"/>
    <col min="5911" max="5911" width="4.375" style="79" customWidth="1"/>
    <col min="5912" max="5912" width="8.875" style="79" customWidth="1"/>
    <col min="5913" max="5913" width="8.125" style="79" customWidth="1"/>
    <col min="5914" max="5914" width="9.125" style="79" customWidth="1"/>
    <col min="5915" max="5915" width="0" style="79" hidden="1" customWidth="1"/>
    <col min="5916" max="5916" width="5.75" style="79" customWidth="1"/>
    <col min="5917" max="5917" width="3.625" style="79" customWidth="1"/>
    <col min="5918" max="5918" width="7.625" style="79" customWidth="1"/>
    <col min="5919" max="5919" width="9.375" style="79" customWidth="1"/>
    <col min="5920" max="5920" width="0" style="79" hidden="1" customWidth="1"/>
    <col min="5921" max="5921" width="21.375" style="79" customWidth="1"/>
    <col min="5922" max="5922" width="6.25" style="79" customWidth="1"/>
    <col min="5923" max="5923" width="6" style="79" customWidth="1"/>
    <col min="5924" max="5924" width="16" style="79" customWidth="1"/>
    <col min="5925" max="6137" width="9" style="79" customWidth="1"/>
    <col min="6138" max="6138" width="2.625" style="79" customWidth="1"/>
    <col min="6139" max="6139" width="9.125" style="79" customWidth="1"/>
    <col min="6140" max="6140" width="2.625" style="79" customWidth="1"/>
    <col min="6141" max="6141" width="12" style="79" bestFit="1" customWidth="1"/>
    <col min="6142" max="6142" width="6.625" style="79" customWidth="1"/>
    <col min="6143" max="6143" width="6.375" style="79" customWidth="1"/>
    <col min="6144" max="6147" width="7.25" style="79"/>
    <col min="6148" max="6148" width="2.875" style="79" customWidth="1"/>
    <col min="6149" max="6149" width="10.125" style="79" customWidth="1"/>
    <col min="6150" max="6150" width="6" style="79" customWidth="1"/>
    <col min="6151" max="6151" width="5.875" style="79" customWidth="1"/>
    <col min="6152" max="6152" width="3.5" style="79" customWidth="1"/>
    <col min="6153" max="6153" width="3.875" style="79" customWidth="1"/>
    <col min="6154" max="6154" width="6.125" style="79" customWidth="1"/>
    <col min="6155" max="6155" width="4.125" style="79" customWidth="1"/>
    <col min="6156" max="6157" width="6.25" style="79" customWidth="1"/>
    <col min="6158" max="6158" width="5.25" style="79" customWidth="1"/>
    <col min="6159" max="6159" width="6.5" style="79" customWidth="1"/>
    <col min="6160" max="6160" width="5.625" style="79" customWidth="1"/>
    <col min="6161" max="6161" width="5.125" style="79" customWidth="1"/>
    <col min="6162" max="6162" width="9" style="79" customWidth="1"/>
    <col min="6163" max="6163" width="12.75" style="79" customWidth="1"/>
    <col min="6164" max="6164" width="3.875" style="79" customWidth="1"/>
    <col min="6165" max="6165" width="5.875" style="79" customWidth="1"/>
    <col min="6166" max="6166" width="5.75" style="79" customWidth="1"/>
    <col min="6167" max="6167" width="4.375" style="79" customWidth="1"/>
    <col min="6168" max="6168" width="8.875" style="79" customWidth="1"/>
    <col min="6169" max="6169" width="8.125" style="79" customWidth="1"/>
    <col min="6170" max="6170" width="9.125" style="79" customWidth="1"/>
    <col min="6171" max="6171" width="0" style="79" hidden="1" customWidth="1"/>
    <col min="6172" max="6172" width="5.75" style="79" customWidth="1"/>
    <col min="6173" max="6173" width="3.625" style="79" customWidth="1"/>
    <col min="6174" max="6174" width="7.625" style="79" customWidth="1"/>
    <col min="6175" max="6175" width="9.375" style="79" customWidth="1"/>
    <col min="6176" max="6176" width="0" style="79" hidden="1" customWidth="1"/>
    <col min="6177" max="6177" width="21.375" style="79" customWidth="1"/>
    <col min="6178" max="6178" width="6.25" style="79" customWidth="1"/>
    <col min="6179" max="6179" width="6" style="79" customWidth="1"/>
    <col min="6180" max="6180" width="16" style="79" customWidth="1"/>
    <col min="6181" max="6393" width="9" style="79" customWidth="1"/>
    <col min="6394" max="6394" width="2.625" style="79" customWidth="1"/>
    <col min="6395" max="6395" width="9.125" style="79" customWidth="1"/>
    <col min="6396" max="6396" width="2.625" style="79" customWidth="1"/>
    <col min="6397" max="6397" width="12" style="79" bestFit="1" customWidth="1"/>
    <col min="6398" max="6398" width="6.625" style="79" customWidth="1"/>
    <col min="6399" max="6399" width="6.375" style="79" customWidth="1"/>
    <col min="6400" max="6403" width="7.25" style="79"/>
    <col min="6404" max="6404" width="2.875" style="79" customWidth="1"/>
    <col min="6405" max="6405" width="10.125" style="79" customWidth="1"/>
    <col min="6406" max="6406" width="6" style="79" customWidth="1"/>
    <col min="6407" max="6407" width="5.875" style="79" customWidth="1"/>
    <col min="6408" max="6408" width="3.5" style="79" customWidth="1"/>
    <col min="6409" max="6409" width="3.875" style="79" customWidth="1"/>
    <col min="6410" max="6410" width="6.125" style="79" customWidth="1"/>
    <col min="6411" max="6411" width="4.125" style="79" customWidth="1"/>
    <col min="6412" max="6413" width="6.25" style="79" customWidth="1"/>
    <col min="6414" max="6414" width="5.25" style="79" customWidth="1"/>
    <col min="6415" max="6415" width="6.5" style="79" customWidth="1"/>
    <col min="6416" max="6416" width="5.625" style="79" customWidth="1"/>
    <col min="6417" max="6417" width="5.125" style="79" customWidth="1"/>
    <col min="6418" max="6418" width="9" style="79" customWidth="1"/>
    <col min="6419" max="6419" width="12.75" style="79" customWidth="1"/>
    <col min="6420" max="6420" width="3.875" style="79" customWidth="1"/>
    <col min="6421" max="6421" width="5.875" style="79" customWidth="1"/>
    <col min="6422" max="6422" width="5.75" style="79" customWidth="1"/>
    <col min="6423" max="6423" width="4.375" style="79" customWidth="1"/>
    <col min="6424" max="6424" width="8.875" style="79" customWidth="1"/>
    <col min="6425" max="6425" width="8.125" style="79" customWidth="1"/>
    <col min="6426" max="6426" width="9.125" style="79" customWidth="1"/>
    <col min="6427" max="6427" width="0" style="79" hidden="1" customWidth="1"/>
    <col min="6428" max="6428" width="5.75" style="79" customWidth="1"/>
    <col min="6429" max="6429" width="3.625" style="79" customWidth="1"/>
    <col min="6430" max="6430" width="7.625" style="79" customWidth="1"/>
    <col min="6431" max="6431" width="9.375" style="79" customWidth="1"/>
    <col min="6432" max="6432" width="0" style="79" hidden="1" customWidth="1"/>
    <col min="6433" max="6433" width="21.375" style="79" customWidth="1"/>
    <col min="6434" max="6434" width="6.25" style="79" customWidth="1"/>
    <col min="6435" max="6435" width="6" style="79" customWidth="1"/>
    <col min="6436" max="6436" width="16" style="79" customWidth="1"/>
    <col min="6437" max="6649" width="9" style="79" customWidth="1"/>
    <col min="6650" max="6650" width="2.625" style="79" customWidth="1"/>
    <col min="6651" max="6651" width="9.125" style="79" customWidth="1"/>
    <col min="6652" max="6652" width="2.625" style="79" customWidth="1"/>
    <col min="6653" max="6653" width="12" style="79" bestFit="1" customWidth="1"/>
    <col min="6654" max="6654" width="6.625" style="79" customWidth="1"/>
    <col min="6655" max="6655" width="6.375" style="79" customWidth="1"/>
    <col min="6656" max="6659" width="7.25" style="79"/>
    <col min="6660" max="6660" width="2.875" style="79" customWidth="1"/>
    <col min="6661" max="6661" width="10.125" style="79" customWidth="1"/>
    <col min="6662" max="6662" width="6" style="79" customWidth="1"/>
    <col min="6663" max="6663" width="5.875" style="79" customWidth="1"/>
    <col min="6664" max="6664" width="3.5" style="79" customWidth="1"/>
    <col min="6665" max="6665" width="3.875" style="79" customWidth="1"/>
    <col min="6666" max="6666" width="6.125" style="79" customWidth="1"/>
    <col min="6667" max="6667" width="4.125" style="79" customWidth="1"/>
    <col min="6668" max="6669" width="6.25" style="79" customWidth="1"/>
    <col min="6670" max="6670" width="5.25" style="79" customWidth="1"/>
    <col min="6671" max="6671" width="6.5" style="79" customWidth="1"/>
    <col min="6672" max="6672" width="5.625" style="79" customWidth="1"/>
    <col min="6673" max="6673" width="5.125" style="79" customWidth="1"/>
    <col min="6674" max="6674" width="9" style="79" customWidth="1"/>
    <col min="6675" max="6675" width="12.75" style="79" customWidth="1"/>
    <col min="6676" max="6676" width="3.875" style="79" customWidth="1"/>
    <col min="6677" max="6677" width="5.875" style="79" customWidth="1"/>
    <col min="6678" max="6678" width="5.75" style="79" customWidth="1"/>
    <col min="6679" max="6679" width="4.375" style="79" customWidth="1"/>
    <col min="6680" max="6680" width="8.875" style="79" customWidth="1"/>
    <col min="6681" max="6681" width="8.125" style="79" customWidth="1"/>
    <col min="6682" max="6682" width="9.125" style="79" customWidth="1"/>
    <col min="6683" max="6683" width="0" style="79" hidden="1" customWidth="1"/>
    <col min="6684" max="6684" width="5.75" style="79" customWidth="1"/>
    <col min="6685" max="6685" width="3.625" style="79" customWidth="1"/>
    <col min="6686" max="6686" width="7.625" style="79" customWidth="1"/>
    <col min="6687" max="6687" width="9.375" style="79" customWidth="1"/>
    <col min="6688" max="6688" width="0" style="79" hidden="1" customWidth="1"/>
    <col min="6689" max="6689" width="21.375" style="79" customWidth="1"/>
    <col min="6690" max="6690" width="6.25" style="79" customWidth="1"/>
    <col min="6691" max="6691" width="6" style="79" customWidth="1"/>
    <col min="6692" max="6692" width="16" style="79" customWidth="1"/>
    <col min="6693" max="6905" width="9" style="79" customWidth="1"/>
    <col min="6906" max="6906" width="2.625" style="79" customWidth="1"/>
    <col min="6907" max="6907" width="9.125" style="79" customWidth="1"/>
    <col min="6908" max="6908" width="2.625" style="79" customWidth="1"/>
    <col min="6909" max="6909" width="12" style="79" bestFit="1" customWidth="1"/>
    <col min="6910" max="6910" width="6.625" style="79" customWidth="1"/>
    <col min="6911" max="6911" width="6.375" style="79" customWidth="1"/>
    <col min="6912" max="6915" width="7.25" style="79"/>
    <col min="6916" max="6916" width="2.875" style="79" customWidth="1"/>
    <col min="6917" max="6917" width="10.125" style="79" customWidth="1"/>
    <col min="6918" max="6918" width="6" style="79" customWidth="1"/>
    <col min="6919" max="6919" width="5.875" style="79" customWidth="1"/>
    <col min="6920" max="6920" width="3.5" style="79" customWidth="1"/>
    <col min="6921" max="6921" width="3.875" style="79" customWidth="1"/>
    <col min="6922" max="6922" width="6.125" style="79" customWidth="1"/>
    <col min="6923" max="6923" width="4.125" style="79" customWidth="1"/>
    <col min="6924" max="6925" width="6.25" style="79" customWidth="1"/>
    <col min="6926" max="6926" width="5.25" style="79" customWidth="1"/>
    <col min="6927" max="6927" width="6.5" style="79" customWidth="1"/>
    <col min="6928" max="6928" width="5.625" style="79" customWidth="1"/>
    <col min="6929" max="6929" width="5.125" style="79" customWidth="1"/>
    <col min="6930" max="6930" width="9" style="79" customWidth="1"/>
    <col min="6931" max="6931" width="12.75" style="79" customWidth="1"/>
    <col min="6932" max="6932" width="3.875" style="79" customWidth="1"/>
    <col min="6933" max="6933" width="5.875" style="79" customWidth="1"/>
    <col min="6934" max="6934" width="5.75" style="79" customWidth="1"/>
    <col min="6935" max="6935" width="4.375" style="79" customWidth="1"/>
    <col min="6936" max="6936" width="8.875" style="79" customWidth="1"/>
    <col min="6937" max="6937" width="8.125" style="79" customWidth="1"/>
    <col min="6938" max="6938" width="9.125" style="79" customWidth="1"/>
    <col min="6939" max="6939" width="0" style="79" hidden="1" customWidth="1"/>
    <col min="6940" max="6940" width="5.75" style="79" customWidth="1"/>
    <col min="6941" max="6941" width="3.625" style="79" customWidth="1"/>
    <col min="6942" max="6942" width="7.625" style="79" customWidth="1"/>
    <col min="6943" max="6943" width="9.375" style="79" customWidth="1"/>
    <col min="6944" max="6944" width="0" style="79" hidden="1" customWidth="1"/>
    <col min="6945" max="6945" width="21.375" style="79" customWidth="1"/>
    <col min="6946" max="6946" width="6.25" style="79" customWidth="1"/>
    <col min="6947" max="6947" width="6" style="79" customWidth="1"/>
    <col min="6948" max="6948" width="16" style="79" customWidth="1"/>
    <col min="6949" max="7161" width="9" style="79" customWidth="1"/>
    <col min="7162" max="7162" width="2.625" style="79" customWidth="1"/>
    <col min="7163" max="7163" width="9.125" style="79" customWidth="1"/>
    <col min="7164" max="7164" width="2.625" style="79" customWidth="1"/>
    <col min="7165" max="7165" width="12" style="79" bestFit="1" customWidth="1"/>
    <col min="7166" max="7166" width="6.625" style="79" customWidth="1"/>
    <col min="7167" max="7167" width="6.375" style="79" customWidth="1"/>
    <col min="7168" max="7171" width="7.25" style="79"/>
    <col min="7172" max="7172" width="2.875" style="79" customWidth="1"/>
    <col min="7173" max="7173" width="10.125" style="79" customWidth="1"/>
    <col min="7174" max="7174" width="6" style="79" customWidth="1"/>
    <col min="7175" max="7175" width="5.875" style="79" customWidth="1"/>
    <col min="7176" max="7176" width="3.5" style="79" customWidth="1"/>
    <col min="7177" max="7177" width="3.875" style="79" customWidth="1"/>
    <col min="7178" max="7178" width="6.125" style="79" customWidth="1"/>
    <col min="7179" max="7179" width="4.125" style="79" customWidth="1"/>
    <col min="7180" max="7181" width="6.25" style="79" customWidth="1"/>
    <col min="7182" max="7182" width="5.25" style="79" customWidth="1"/>
    <col min="7183" max="7183" width="6.5" style="79" customWidth="1"/>
    <col min="7184" max="7184" width="5.625" style="79" customWidth="1"/>
    <col min="7185" max="7185" width="5.125" style="79" customWidth="1"/>
    <col min="7186" max="7186" width="9" style="79" customWidth="1"/>
    <col min="7187" max="7187" width="12.75" style="79" customWidth="1"/>
    <col min="7188" max="7188" width="3.875" style="79" customWidth="1"/>
    <col min="7189" max="7189" width="5.875" style="79" customWidth="1"/>
    <col min="7190" max="7190" width="5.75" style="79" customWidth="1"/>
    <col min="7191" max="7191" width="4.375" style="79" customWidth="1"/>
    <col min="7192" max="7192" width="8.875" style="79" customWidth="1"/>
    <col min="7193" max="7193" width="8.125" style="79" customWidth="1"/>
    <col min="7194" max="7194" width="9.125" style="79" customWidth="1"/>
    <col min="7195" max="7195" width="0" style="79" hidden="1" customWidth="1"/>
    <col min="7196" max="7196" width="5.75" style="79" customWidth="1"/>
    <col min="7197" max="7197" width="3.625" style="79" customWidth="1"/>
    <col min="7198" max="7198" width="7.625" style="79" customWidth="1"/>
    <col min="7199" max="7199" width="9.375" style="79" customWidth="1"/>
    <col min="7200" max="7200" width="0" style="79" hidden="1" customWidth="1"/>
    <col min="7201" max="7201" width="21.375" style="79" customWidth="1"/>
    <col min="7202" max="7202" width="6.25" style="79" customWidth="1"/>
    <col min="7203" max="7203" width="6" style="79" customWidth="1"/>
    <col min="7204" max="7204" width="16" style="79" customWidth="1"/>
    <col min="7205" max="7417" width="9" style="79" customWidth="1"/>
    <col min="7418" max="7418" width="2.625" style="79" customWidth="1"/>
    <col min="7419" max="7419" width="9.125" style="79" customWidth="1"/>
    <col min="7420" max="7420" width="2.625" style="79" customWidth="1"/>
    <col min="7421" max="7421" width="12" style="79" bestFit="1" customWidth="1"/>
    <col min="7422" max="7422" width="6.625" style="79" customWidth="1"/>
    <col min="7423" max="7423" width="6.375" style="79" customWidth="1"/>
    <col min="7424" max="7427" width="7.25" style="79"/>
    <col min="7428" max="7428" width="2.875" style="79" customWidth="1"/>
    <col min="7429" max="7429" width="10.125" style="79" customWidth="1"/>
    <col min="7430" max="7430" width="6" style="79" customWidth="1"/>
    <col min="7431" max="7431" width="5.875" style="79" customWidth="1"/>
    <col min="7432" max="7432" width="3.5" style="79" customWidth="1"/>
    <col min="7433" max="7433" width="3.875" style="79" customWidth="1"/>
    <col min="7434" max="7434" width="6.125" style="79" customWidth="1"/>
    <col min="7435" max="7435" width="4.125" style="79" customWidth="1"/>
    <col min="7436" max="7437" width="6.25" style="79" customWidth="1"/>
    <col min="7438" max="7438" width="5.25" style="79" customWidth="1"/>
    <col min="7439" max="7439" width="6.5" style="79" customWidth="1"/>
    <col min="7440" max="7440" width="5.625" style="79" customWidth="1"/>
    <col min="7441" max="7441" width="5.125" style="79" customWidth="1"/>
    <col min="7442" max="7442" width="9" style="79" customWidth="1"/>
    <col min="7443" max="7443" width="12.75" style="79" customWidth="1"/>
    <col min="7444" max="7444" width="3.875" style="79" customWidth="1"/>
    <col min="7445" max="7445" width="5.875" style="79" customWidth="1"/>
    <col min="7446" max="7446" width="5.75" style="79" customWidth="1"/>
    <col min="7447" max="7447" width="4.375" style="79" customWidth="1"/>
    <col min="7448" max="7448" width="8.875" style="79" customWidth="1"/>
    <col min="7449" max="7449" width="8.125" style="79" customWidth="1"/>
    <col min="7450" max="7450" width="9.125" style="79" customWidth="1"/>
    <col min="7451" max="7451" width="0" style="79" hidden="1" customWidth="1"/>
    <col min="7452" max="7452" width="5.75" style="79" customWidth="1"/>
    <col min="7453" max="7453" width="3.625" style="79" customWidth="1"/>
    <col min="7454" max="7454" width="7.625" style="79" customWidth="1"/>
    <col min="7455" max="7455" width="9.375" style="79" customWidth="1"/>
    <col min="7456" max="7456" width="0" style="79" hidden="1" customWidth="1"/>
    <col min="7457" max="7457" width="21.375" style="79" customWidth="1"/>
    <col min="7458" max="7458" width="6.25" style="79" customWidth="1"/>
    <col min="7459" max="7459" width="6" style="79" customWidth="1"/>
    <col min="7460" max="7460" width="16" style="79" customWidth="1"/>
    <col min="7461" max="7673" width="9" style="79" customWidth="1"/>
    <col min="7674" max="7674" width="2.625" style="79" customWidth="1"/>
    <col min="7675" max="7675" width="9.125" style="79" customWidth="1"/>
    <col min="7676" max="7676" width="2.625" style="79" customWidth="1"/>
    <col min="7677" max="7677" width="12" style="79" bestFit="1" customWidth="1"/>
    <col min="7678" max="7678" width="6.625" style="79" customWidth="1"/>
    <col min="7679" max="7679" width="6.375" style="79" customWidth="1"/>
    <col min="7680" max="7683" width="7.25" style="79"/>
    <col min="7684" max="7684" width="2.875" style="79" customWidth="1"/>
    <col min="7685" max="7685" width="10.125" style="79" customWidth="1"/>
    <col min="7686" max="7686" width="6" style="79" customWidth="1"/>
    <col min="7687" max="7687" width="5.875" style="79" customWidth="1"/>
    <col min="7688" max="7688" width="3.5" style="79" customWidth="1"/>
    <col min="7689" max="7689" width="3.875" style="79" customWidth="1"/>
    <col min="7690" max="7690" width="6.125" style="79" customWidth="1"/>
    <col min="7691" max="7691" width="4.125" style="79" customWidth="1"/>
    <col min="7692" max="7693" width="6.25" style="79" customWidth="1"/>
    <col min="7694" max="7694" width="5.25" style="79" customWidth="1"/>
    <col min="7695" max="7695" width="6.5" style="79" customWidth="1"/>
    <col min="7696" max="7696" width="5.625" style="79" customWidth="1"/>
    <col min="7697" max="7697" width="5.125" style="79" customWidth="1"/>
    <col min="7698" max="7698" width="9" style="79" customWidth="1"/>
    <col min="7699" max="7699" width="12.75" style="79" customWidth="1"/>
    <col min="7700" max="7700" width="3.875" style="79" customWidth="1"/>
    <col min="7701" max="7701" width="5.875" style="79" customWidth="1"/>
    <col min="7702" max="7702" width="5.75" style="79" customWidth="1"/>
    <col min="7703" max="7703" width="4.375" style="79" customWidth="1"/>
    <col min="7704" max="7704" width="8.875" style="79" customWidth="1"/>
    <col min="7705" max="7705" width="8.125" style="79" customWidth="1"/>
    <col min="7706" max="7706" width="9.125" style="79" customWidth="1"/>
    <col min="7707" max="7707" width="0" style="79" hidden="1" customWidth="1"/>
    <col min="7708" max="7708" width="5.75" style="79" customWidth="1"/>
    <col min="7709" max="7709" width="3.625" style="79" customWidth="1"/>
    <col min="7710" max="7710" width="7.625" style="79" customWidth="1"/>
    <col min="7711" max="7711" width="9.375" style="79" customWidth="1"/>
    <col min="7712" max="7712" width="0" style="79" hidden="1" customWidth="1"/>
    <col min="7713" max="7713" width="21.375" style="79" customWidth="1"/>
    <col min="7714" max="7714" width="6.25" style="79" customWidth="1"/>
    <col min="7715" max="7715" width="6" style="79" customWidth="1"/>
    <col min="7716" max="7716" width="16" style="79" customWidth="1"/>
    <col min="7717" max="7929" width="9" style="79" customWidth="1"/>
    <col min="7930" max="7930" width="2.625" style="79" customWidth="1"/>
    <col min="7931" max="7931" width="9.125" style="79" customWidth="1"/>
    <col min="7932" max="7932" width="2.625" style="79" customWidth="1"/>
    <col min="7933" max="7933" width="12" style="79" bestFit="1" customWidth="1"/>
    <col min="7934" max="7934" width="6.625" style="79" customWidth="1"/>
    <col min="7935" max="7935" width="6.375" style="79" customWidth="1"/>
    <col min="7936" max="7939" width="7.25" style="79"/>
    <col min="7940" max="7940" width="2.875" style="79" customWidth="1"/>
    <col min="7941" max="7941" width="10.125" style="79" customWidth="1"/>
    <col min="7942" max="7942" width="6" style="79" customWidth="1"/>
    <col min="7943" max="7943" width="5.875" style="79" customWidth="1"/>
    <col min="7944" max="7944" width="3.5" style="79" customWidth="1"/>
    <col min="7945" max="7945" width="3.875" style="79" customWidth="1"/>
    <col min="7946" max="7946" width="6.125" style="79" customWidth="1"/>
    <col min="7947" max="7947" width="4.125" style="79" customWidth="1"/>
    <col min="7948" max="7949" width="6.25" style="79" customWidth="1"/>
    <col min="7950" max="7950" width="5.25" style="79" customWidth="1"/>
    <col min="7951" max="7951" width="6.5" style="79" customWidth="1"/>
    <col min="7952" max="7952" width="5.625" style="79" customWidth="1"/>
    <col min="7953" max="7953" width="5.125" style="79" customWidth="1"/>
    <col min="7954" max="7954" width="9" style="79" customWidth="1"/>
    <col min="7955" max="7955" width="12.75" style="79" customWidth="1"/>
    <col min="7956" max="7956" width="3.875" style="79" customWidth="1"/>
    <col min="7957" max="7957" width="5.875" style="79" customWidth="1"/>
    <col min="7958" max="7958" width="5.75" style="79" customWidth="1"/>
    <col min="7959" max="7959" width="4.375" style="79" customWidth="1"/>
    <col min="7960" max="7960" width="8.875" style="79" customWidth="1"/>
    <col min="7961" max="7961" width="8.125" style="79" customWidth="1"/>
    <col min="7962" max="7962" width="9.125" style="79" customWidth="1"/>
    <col min="7963" max="7963" width="0" style="79" hidden="1" customWidth="1"/>
    <col min="7964" max="7964" width="5.75" style="79" customWidth="1"/>
    <col min="7965" max="7965" width="3.625" style="79" customWidth="1"/>
    <col min="7966" max="7966" width="7.625" style="79" customWidth="1"/>
    <col min="7967" max="7967" width="9.375" style="79" customWidth="1"/>
    <col min="7968" max="7968" width="0" style="79" hidden="1" customWidth="1"/>
    <col min="7969" max="7969" width="21.375" style="79" customWidth="1"/>
    <col min="7970" max="7970" width="6.25" style="79" customWidth="1"/>
    <col min="7971" max="7971" width="6" style="79" customWidth="1"/>
    <col min="7972" max="7972" width="16" style="79" customWidth="1"/>
    <col min="7973" max="8185" width="9" style="79" customWidth="1"/>
    <col min="8186" max="8186" width="2.625" style="79" customWidth="1"/>
    <col min="8187" max="8187" width="9.125" style="79" customWidth="1"/>
    <col min="8188" max="8188" width="2.625" style="79" customWidth="1"/>
    <col min="8189" max="8189" width="12" style="79" bestFit="1" customWidth="1"/>
    <col min="8190" max="8190" width="6.625" style="79" customWidth="1"/>
    <col min="8191" max="8191" width="6.375" style="79" customWidth="1"/>
    <col min="8192" max="8195" width="7.25" style="79"/>
    <col min="8196" max="8196" width="2.875" style="79" customWidth="1"/>
    <col min="8197" max="8197" width="10.125" style="79" customWidth="1"/>
    <col min="8198" max="8198" width="6" style="79" customWidth="1"/>
    <col min="8199" max="8199" width="5.875" style="79" customWidth="1"/>
    <col min="8200" max="8200" width="3.5" style="79" customWidth="1"/>
    <col min="8201" max="8201" width="3.875" style="79" customWidth="1"/>
    <col min="8202" max="8202" width="6.125" style="79" customWidth="1"/>
    <col min="8203" max="8203" width="4.125" style="79" customWidth="1"/>
    <col min="8204" max="8205" width="6.25" style="79" customWidth="1"/>
    <col min="8206" max="8206" width="5.25" style="79" customWidth="1"/>
    <col min="8207" max="8207" width="6.5" style="79" customWidth="1"/>
    <col min="8208" max="8208" width="5.625" style="79" customWidth="1"/>
    <col min="8209" max="8209" width="5.125" style="79" customWidth="1"/>
    <col min="8210" max="8210" width="9" style="79" customWidth="1"/>
    <col min="8211" max="8211" width="12.75" style="79" customWidth="1"/>
    <col min="8212" max="8212" width="3.875" style="79" customWidth="1"/>
    <col min="8213" max="8213" width="5.875" style="79" customWidth="1"/>
    <col min="8214" max="8214" width="5.75" style="79" customWidth="1"/>
    <col min="8215" max="8215" width="4.375" style="79" customWidth="1"/>
    <col min="8216" max="8216" width="8.875" style="79" customWidth="1"/>
    <col min="8217" max="8217" width="8.125" style="79" customWidth="1"/>
    <col min="8218" max="8218" width="9.125" style="79" customWidth="1"/>
    <col min="8219" max="8219" width="0" style="79" hidden="1" customWidth="1"/>
    <col min="8220" max="8220" width="5.75" style="79" customWidth="1"/>
    <col min="8221" max="8221" width="3.625" style="79" customWidth="1"/>
    <col min="8222" max="8222" width="7.625" style="79" customWidth="1"/>
    <col min="8223" max="8223" width="9.375" style="79" customWidth="1"/>
    <col min="8224" max="8224" width="0" style="79" hidden="1" customWidth="1"/>
    <col min="8225" max="8225" width="21.375" style="79" customWidth="1"/>
    <col min="8226" max="8226" width="6.25" style="79" customWidth="1"/>
    <col min="8227" max="8227" width="6" style="79" customWidth="1"/>
    <col min="8228" max="8228" width="16" style="79" customWidth="1"/>
    <col min="8229" max="8441" width="9" style="79" customWidth="1"/>
    <col min="8442" max="8442" width="2.625" style="79" customWidth="1"/>
    <col min="8443" max="8443" width="9.125" style="79" customWidth="1"/>
    <col min="8444" max="8444" width="2.625" style="79" customWidth="1"/>
    <col min="8445" max="8445" width="12" style="79" bestFit="1" customWidth="1"/>
    <col min="8446" max="8446" width="6.625" style="79" customWidth="1"/>
    <col min="8447" max="8447" width="6.375" style="79" customWidth="1"/>
    <col min="8448" max="8451" width="7.25" style="79"/>
    <col min="8452" max="8452" width="2.875" style="79" customWidth="1"/>
    <col min="8453" max="8453" width="10.125" style="79" customWidth="1"/>
    <col min="8454" max="8454" width="6" style="79" customWidth="1"/>
    <col min="8455" max="8455" width="5.875" style="79" customWidth="1"/>
    <col min="8456" max="8456" width="3.5" style="79" customWidth="1"/>
    <col min="8457" max="8457" width="3.875" style="79" customWidth="1"/>
    <col min="8458" max="8458" width="6.125" style="79" customWidth="1"/>
    <col min="8459" max="8459" width="4.125" style="79" customWidth="1"/>
    <col min="8460" max="8461" width="6.25" style="79" customWidth="1"/>
    <col min="8462" max="8462" width="5.25" style="79" customWidth="1"/>
    <col min="8463" max="8463" width="6.5" style="79" customWidth="1"/>
    <col min="8464" max="8464" width="5.625" style="79" customWidth="1"/>
    <col min="8465" max="8465" width="5.125" style="79" customWidth="1"/>
    <col min="8466" max="8466" width="9" style="79" customWidth="1"/>
    <col min="8467" max="8467" width="12.75" style="79" customWidth="1"/>
    <col min="8468" max="8468" width="3.875" style="79" customWidth="1"/>
    <col min="8469" max="8469" width="5.875" style="79" customWidth="1"/>
    <col min="8470" max="8470" width="5.75" style="79" customWidth="1"/>
    <col min="8471" max="8471" width="4.375" style="79" customWidth="1"/>
    <col min="8472" max="8472" width="8.875" style="79" customWidth="1"/>
    <col min="8473" max="8473" width="8.125" style="79" customWidth="1"/>
    <col min="8474" max="8474" width="9.125" style="79" customWidth="1"/>
    <col min="8475" max="8475" width="0" style="79" hidden="1" customWidth="1"/>
    <col min="8476" max="8476" width="5.75" style="79" customWidth="1"/>
    <col min="8477" max="8477" width="3.625" style="79" customWidth="1"/>
    <col min="8478" max="8478" width="7.625" style="79" customWidth="1"/>
    <col min="8479" max="8479" width="9.375" style="79" customWidth="1"/>
    <col min="8480" max="8480" width="0" style="79" hidden="1" customWidth="1"/>
    <col min="8481" max="8481" width="21.375" style="79" customWidth="1"/>
    <col min="8482" max="8482" width="6.25" style="79" customWidth="1"/>
    <col min="8483" max="8483" width="6" style="79" customWidth="1"/>
    <col min="8484" max="8484" width="16" style="79" customWidth="1"/>
    <col min="8485" max="8697" width="9" style="79" customWidth="1"/>
    <col min="8698" max="8698" width="2.625" style="79" customWidth="1"/>
    <col min="8699" max="8699" width="9.125" style="79" customWidth="1"/>
    <col min="8700" max="8700" width="2.625" style="79" customWidth="1"/>
    <col min="8701" max="8701" width="12" style="79" bestFit="1" customWidth="1"/>
    <col min="8702" max="8702" width="6.625" style="79" customWidth="1"/>
    <col min="8703" max="8703" width="6.375" style="79" customWidth="1"/>
    <col min="8704" max="8707" width="7.25" style="79"/>
    <col min="8708" max="8708" width="2.875" style="79" customWidth="1"/>
    <col min="8709" max="8709" width="10.125" style="79" customWidth="1"/>
    <col min="8710" max="8710" width="6" style="79" customWidth="1"/>
    <col min="8711" max="8711" width="5.875" style="79" customWidth="1"/>
    <col min="8712" max="8712" width="3.5" style="79" customWidth="1"/>
    <col min="8713" max="8713" width="3.875" style="79" customWidth="1"/>
    <col min="8714" max="8714" width="6.125" style="79" customWidth="1"/>
    <col min="8715" max="8715" width="4.125" style="79" customWidth="1"/>
    <col min="8716" max="8717" width="6.25" style="79" customWidth="1"/>
    <col min="8718" max="8718" width="5.25" style="79" customWidth="1"/>
    <col min="8719" max="8719" width="6.5" style="79" customWidth="1"/>
    <col min="8720" max="8720" width="5.625" style="79" customWidth="1"/>
    <col min="8721" max="8721" width="5.125" style="79" customWidth="1"/>
    <col min="8722" max="8722" width="9" style="79" customWidth="1"/>
    <col min="8723" max="8723" width="12.75" style="79" customWidth="1"/>
    <col min="8724" max="8724" width="3.875" style="79" customWidth="1"/>
    <col min="8725" max="8725" width="5.875" style="79" customWidth="1"/>
    <col min="8726" max="8726" width="5.75" style="79" customWidth="1"/>
    <col min="8727" max="8727" width="4.375" style="79" customWidth="1"/>
    <col min="8728" max="8728" width="8.875" style="79" customWidth="1"/>
    <col min="8729" max="8729" width="8.125" style="79" customWidth="1"/>
    <col min="8730" max="8730" width="9.125" style="79" customWidth="1"/>
    <col min="8731" max="8731" width="0" style="79" hidden="1" customWidth="1"/>
    <col min="8732" max="8732" width="5.75" style="79" customWidth="1"/>
    <col min="8733" max="8733" width="3.625" style="79" customWidth="1"/>
    <col min="8734" max="8734" width="7.625" style="79" customWidth="1"/>
    <col min="8735" max="8735" width="9.375" style="79" customWidth="1"/>
    <col min="8736" max="8736" width="0" style="79" hidden="1" customWidth="1"/>
    <col min="8737" max="8737" width="21.375" style="79" customWidth="1"/>
    <col min="8738" max="8738" width="6.25" style="79" customWidth="1"/>
    <col min="8739" max="8739" width="6" style="79" customWidth="1"/>
    <col min="8740" max="8740" width="16" style="79" customWidth="1"/>
    <col min="8741" max="8953" width="9" style="79" customWidth="1"/>
    <col min="8954" max="8954" width="2.625" style="79" customWidth="1"/>
    <col min="8955" max="8955" width="9.125" style="79" customWidth="1"/>
    <col min="8956" max="8956" width="2.625" style="79" customWidth="1"/>
    <col min="8957" max="8957" width="12" style="79" bestFit="1" customWidth="1"/>
    <col min="8958" max="8958" width="6.625" style="79" customWidth="1"/>
    <col min="8959" max="8959" width="6.375" style="79" customWidth="1"/>
    <col min="8960" max="8963" width="7.25" style="79"/>
    <col min="8964" max="8964" width="2.875" style="79" customWidth="1"/>
    <col min="8965" max="8965" width="10.125" style="79" customWidth="1"/>
    <col min="8966" max="8966" width="6" style="79" customWidth="1"/>
    <col min="8967" max="8967" width="5.875" style="79" customWidth="1"/>
    <col min="8968" max="8968" width="3.5" style="79" customWidth="1"/>
    <col min="8969" max="8969" width="3.875" style="79" customWidth="1"/>
    <col min="8970" max="8970" width="6.125" style="79" customWidth="1"/>
    <col min="8971" max="8971" width="4.125" style="79" customWidth="1"/>
    <col min="8972" max="8973" width="6.25" style="79" customWidth="1"/>
    <col min="8974" max="8974" width="5.25" style="79" customWidth="1"/>
    <col min="8975" max="8975" width="6.5" style="79" customWidth="1"/>
    <col min="8976" max="8976" width="5.625" style="79" customWidth="1"/>
    <col min="8977" max="8977" width="5.125" style="79" customWidth="1"/>
    <col min="8978" max="8978" width="9" style="79" customWidth="1"/>
    <col min="8979" max="8979" width="12.75" style="79" customWidth="1"/>
    <col min="8980" max="8980" width="3.875" style="79" customWidth="1"/>
    <col min="8981" max="8981" width="5.875" style="79" customWidth="1"/>
    <col min="8982" max="8982" width="5.75" style="79" customWidth="1"/>
    <col min="8983" max="8983" width="4.375" style="79" customWidth="1"/>
    <col min="8984" max="8984" width="8.875" style="79" customWidth="1"/>
    <col min="8985" max="8985" width="8.125" style="79" customWidth="1"/>
    <col min="8986" max="8986" width="9.125" style="79" customWidth="1"/>
    <col min="8987" max="8987" width="0" style="79" hidden="1" customWidth="1"/>
    <col min="8988" max="8988" width="5.75" style="79" customWidth="1"/>
    <col min="8989" max="8989" width="3.625" style="79" customWidth="1"/>
    <col min="8990" max="8990" width="7.625" style="79" customWidth="1"/>
    <col min="8991" max="8991" width="9.375" style="79" customWidth="1"/>
    <col min="8992" max="8992" width="0" style="79" hidden="1" customWidth="1"/>
    <col min="8993" max="8993" width="21.375" style="79" customWidth="1"/>
    <col min="8994" max="8994" width="6.25" style="79" customWidth="1"/>
    <col min="8995" max="8995" width="6" style="79" customWidth="1"/>
    <col min="8996" max="8996" width="16" style="79" customWidth="1"/>
    <col min="8997" max="9209" width="9" style="79" customWidth="1"/>
    <col min="9210" max="9210" width="2.625" style="79" customWidth="1"/>
    <col min="9211" max="9211" width="9.125" style="79" customWidth="1"/>
    <col min="9212" max="9212" width="2.625" style="79" customWidth="1"/>
    <col min="9213" max="9213" width="12" style="79" bestFit="1" customWidth="1"/>
    <col min="9214" max="9214" width="6.625" style="79" customWidth="1"/>
    <col min="9215" max="9215" width="6.375" style="79" customWidth="1"/>
    <col min="9216" max="9219" width="7.25" style="79"/>
    <col min="9220" max="9220" width="2.875" style="79" customWidth="1"/>
    <col min="9221" max="9221" width="10.125" style="79" customWidth="1"/>
    <col min="9222" max="9222" width="6" style="79" customWidth="1"/>
    <col min="9223" max="9223" width="5.875" style="79" customWidth="1"/>
    <col min="9224" max="9224" width="3.5" style="79" customWidth="1"/>
    <col min="9225" max="9225" width="3.875" style="79" customWidth="1"/>
    <col min="9226" max="9226" width="6.125" style="79" customWidth="1"/>
    <col min="9227" max="9227" width="4.125" style="79" customWidth="1"/>
    <col min="9228" max="9229" width="6.25" style="79" customWidth="1"/>
    <col min="9230" max="9230" width="5.25" style="79" customWidth="1"/>
    <col min="9231" max="9231" width="6.5" style="79" customWidth="1"/>
    <col min="9232" max="9232" width="5.625" style="79" customWidth="1"/>
    <col min="9233" max="9233" width="5.125" style="79" customWidth="1"/>
    <col min="9234" max="9234" width="9" style="79" customWidth="1"/>
    <col min="9235" max="9235" width="12.75" style="79" customWidth="1"/>
    <col min="9236" max="9236" width="3.875" style="79" customWidth="1"/>
    <col min="9237" max="9237" width="5.875" style="79" customWidth="1"/>
    <col min="9238" max="9238" width="5.75" style="79" customWidth="1"/>
    <col min="9239" max="9239" width="4.375" style="79" customWidth="1"/>
    <col min="9240" max="9240" width="8.875" style="79" customWidth="1"/>
    <col min="9241" max="9241" width="8.125" style="79" customWidth="1"/>
    <col min="9242" max="9242" width="9.125" style="79" customWidth="1"/>
    <col min="9243" max="9243" width="0" style="79" hidden="1" customWidth="1"/>
    <col min="9244" max="9244" width="5.75" style="79" customWidth="1"/>
    <col min="9245" max="9245" width="3.625" style="79" customWidth="1"/>
    <col min="9246" max="9246" width="7.625" style="79" customWidth="1"/>
    <col min="9247" max="9247" width="9.375" style="79" customWidth="1"/>
    <col min="9248" max="9248" width="0" style="79" hidden="1" customWidth="1"/>
    <col min="9249" max="9249" width="21.375" style="79" customWidth="1"/>
    <col min="9250" max="9250" width="6.25" style="79" customWidth="1"/>
    <col min="9251" max="9251" width="6" style="79" customWidth="1"/>
    <col min="9252" max="9252" width="16" style="79" customWidth="1"/>
    <col min="9253" max="9465" width="9" style="79" customWidth="1"/>
    <col min="9466" max="9466" width="2.625" style="79" customWidth="1"/>
    <col min="9467" max="9467" width="9.125" style="79" customWidth="1"/>
    <col min="9468" max="9468" width="2.625" style="79" customWidth="1"/>
    <col min="9469" max="9469" width="12" style="79" bestFit="1" customWidth="1"/>
    <col min="9470" max="9470" width="6.625" style="79" customWidth="1"/>
    <col min="9471" max="9471" width="6.375" style="79" customWidth="1"/>
    <col min="9472" max="9475" width="7.25" style="79"/>
    <col min="9476" max="9476" width="2.875" style="79" customWidth="1"/>
    <col min="9477" max="9477" width="10.125" style="79" customWidth="1"/>
    <col min="9478" max="9478" width="6" style="79" customWidth="1"/>
    <col min="9479" max="9479" width="5.875" style="79" customWidth="1"/>
    <col min="9480" max="9480" width="3.5" style="79" customWidth="1"/>
    <col min="9481" max="9481" width="3.875" style="79" customWidth="1"/>
    <col min="9482" max="9482" width="6.125" style="79" customWidth="1"/>
    <col min="9483" max="9483" width="4.125" style="79" customWidth="1"/>
    <col min="9484" max="9485" width="6.25" style="79" customWidth="1"/>
    <col min="9486" max="9486" width="5.25" style="79" customWidth="1"/>
    <col min="9487" max="9487" width="6.5" style="79" customWidth="1"/>
    <col min="9488" max="9488" width="5.625" style="79" customWidth="1"/>
    <col min="9489" max="9489" width="5.125" style="79" customWidth="1"/>
    <col min="9490" max="9490" width="9" style="79" customWidth="1"/>
    <col min="9491" max="9491" width="12.75" style="79" customWidth="1"/>
    <col min="9492" max="9492" width="3.875" style="79" customWidth="1"/>
    <col min="9493" max="9493" width="5.875" style="79" customWidth="1"/>
    <col min="9494" max="9494" width="5.75" style="79" customWidth="1"/>
    <col min="9495" max="9495" width="4.375" style="79" customWidth="1"/>
    <col min="9496" max="9496" width="8.875" style="79" customWidth="1"/>
    <col min="9497" max="9497" width="8.125" style="79" customWidth="1"/>
    <col min="9498" max="9498" width="9.125" style="79" customWidth="1"/>
    <col min="9499" max="9499" width="0" style="79" hidden="1" customWidth="1"/>
    <col min="9500" max="9500" width="5.75" style="79" customWidth="1"/>
    <col min="9501" max="9501" width="3.625" style="79" customWidth="1"/>
    <col min="9502" max="9502" width="7.625" style="79" customWidth="1"/>
    <col min="9503" max="9503" width="9.375" style="79" customWidth="1"/>
    <col min="9504" max="9504" width="0" style="79" hidden="1" customWidth="1"/>
    <col min="9505" max="9505" width="21.375" style="79" customWidth="1"/>
    <col min="9506" max="9506" width="6.25" style="79" customWidth="1"/>
    <col min="9507" max="9507" width="6" style="79" customWidth="1"/>
    <col min="9508" max="9508" width="16" style="79" customWidth="1"/>
    <col min="9509" max="9721" width="9" style="79" customWidth="1"/>
    <col min="9722" max="9722" width="2.625" style="79" customWidth="1"/>
    <col min="9723" max="9723" width="9.125" style="79" customWidth="1"/>
    <col min="9724" max="9724" width="2.625" style="79" customWidth="1"/>
    <col min="9725" max="9725" width="12" style="79" bestFit="1" customWidth="1"/>
    <col min="9726" max="9726" width="6.625" style="79" customWidth="1"/>
    <col min="9727" max="9727" width="6.375" style="79" customWidth="1"/>
    <col min="9728" max="9731" width="7.25" style="79"/>
    <col min="9732" max="9732" width="2.875" style="79" customWidth="1"/>
    <col min="9733" max="9733" width="10.125" style="79" customWidth="1"/>
    <col min="9734" max="9734" width="6" style="79" customWidth="1"/>
    <col min="9735" max="9735" width="5.875" style="79" customWidth="1"/>
    <col min="9736" max="9736" width="3.5" style="79" customWidth="1"/>
    <col min="9737" max="9737" width="3.875" style="79" customWidth="1"/>
    <col min="9738" max="9738" width="6.125" style="79" customWidth="1"/>
    <col min="9739" max="9739" width="4.125" style="79" customWidth="1"/>
    <col min="9740" max="9741" width="6.25" style="79" customWidth="1"/>
    <col min="9742" max="9742" width="5.25" style="79" customWidth="1"/>
    <col min="9743" max="9743" width="6.5" style="79" customWidth="1"/>
    <col min="9744" max="9744" width="5.625" style="79" customWidth="1"/>
    <col min="9745" max="9745" width="5.125" style="79" customWidth="1"/>
    <col min="9746" max="9746" width="9" style="79" customWidth="1"/>
    <col min="9747" max="9747" width="12.75" style="79" customWidth="1"/>
    <col min="9748" max="9748" width="3.875" style="79" customWidth="1"/>
    <col min="9749" max="9749" width="5.875" style="79" customWidth="1"/>
    <col min="9750" max="9750" width="5.75" style="79" customWidth="1"/>
    <col min="9751" max="9751" width="4.375" style="79" customWidth="1"/>
    <col min="9752" max="9752" width="8.875" style="79" customWidth="1"/>
    <col min="9753" max="9753" width="8.125" style="79" customWidth="1"/>
    <col min="9754" max="9754" width="9.125" style="79" customWidth="1"/>
    <col min="9755" max="9755" width="0" style="79" hidden="1" customWidth="1"/>
    <col min="9756" max="9756" width="5.75" style="79" customWidth="1"/>
    <col min="9757" max="9757" width="3.625" style="79" customWidth="1"/>
    <col min="9758" max="9758" width="7.625" style="79" customWidth="1"/>
    <col min="9759" max="9759" width="9.375" style="79" customWidth="1"/>
    <col min="9760" max="9760" width="0" style="79" hidden="1" customWidth="1"/>
    <col min="9761" max="9761" width="21.375" style="79" customWidth="1"/>
    <col min="9762" max="9762" width="6.25" style="79" customWidth="1"/>
    <col min="9763" max="9763" width="6" style="79" customWidth="1"/>
    <col min="9764" max="9764" width="16" style="79" customWidth="1"/>
    <col min="9765" max="9977" width="9" style="79" customWidth="1"/>
    <col min="9978" max="9978" width="2.625" style="79" customWidth="1"/>
    <col min="9979" max="9979" width="9.125" style="79" customWidth="1"/>
    <col min="9980" max="9980" width="2.625" style="79" customWidth="1"/>
    <col min="9981" max="9981" width="12" style="79" bestFit="1" customWidth="1"/>
    <col min="9982" max="9982" width="6.625" style="79" customWidth="1"/>
    <col min="9983" max="9983" width="6.375" style="79" customWidth="1"/>
    <col min="9984" max="9987" width="7.25" style="79"/>
    <col min="9988" max="9988" width="2.875" style="79" customWidth="1"/>
    <col min="9989" max="9989" width="10.125" style="79" customWidth="1"/>
    <col min="9990" max="9990" width="6" style="79" customWidth="1"/>
    <col min="9991" max="9991" width="5.875" style="79" customWidth="1"/>
    <col min="9992" max="9992" width="3.5" style="79" customWidth="1"/>
    <col min="9993" max="9993" width="3.875" style="79" customWidth="1"/>
    <col min="9994" max="9994" width="6.125" style="79" customWidth="1"/>
    <col min="9995" max="9995" width="4.125" style="79" customWidth="1"/>
    <col min="9996" max="9997" width="6.25" style="79" customWidth="1"/>
    <col min="9998" max="9998" width="5.25" style="79" customWidth="1"/>
    <col min="9999" max="9999" width="6.5" style="79" customWidth="1"/>
    <col min="10000" max="10000" width="5.625" style="79" customWidth="1"/>
    <col min="10001" max="10001" width="5.125" style="79" customWidth="1"/>
    <col min="10002" max="10002" width="9" style="79" customWidth="1"/>
    <col min="10003" max="10003" width="12.75" style="79" customWidth="1"/>
    <col min="10004" max="10004" width="3.875" style="79" customWidth="1"/>
    <col min="10005" max="10005" width="5.875" style="79" customWidth="1"/>
    <col min="10006" max="10006" width="5.75" style="79" customWidth="1"/>
    <col min="10007" max="10007" width="4.375" style="79" customWidth="1"/>
    <col min="10008" max="10008" width="8.875" style="79" customWidth="1"/>
    <col min="10009" max="10009" width="8.125" style="79" customWidth="1"/>
    <col min="10010" max="10010" width="9.125" style="79" customWidth="1"/>
    <col min="10011" max="10011" width="0" style="79" hidden="1" customWidth="1"/>
    <col min="10012" max="10012" width="5.75" style="79" customWidth="1"/>
    <col min="10013" max="10013" width="3.625" style="79" customWidth="1"/>
    <col min="10014" max="10014" width="7.625" style="79" customWidth="1"/>
    <col min="10015" max="10015" width="9.375" style="79" customWidth="1"/>
    <col min="10016" max="10016" width="0" style="79" hidden="1" customWidth="1"/>
    <col min="10017" max="10017" width="21.375" style="79" customWidth="1"/>
    <col min="10018" max="10018" width="6.25" style="79" customWidth="1"/>
    <col min="10019" max="10019" width="6" style="79" customWidth="1"/>
    <col min="10020" max="10020" width="16" style="79" customWidth="1"/>
    <col min="10021" max="10233" width="9" style="79" customWidth="1"/>
    <col min="10234" max="10234" width="2.625" style="79" customWidth="1"/>
    <col min="10235" max="10235" width="9.125" style="79" customWidth="1"/>
    <col min="10236" max="10236" width="2.625" style="79" customWidth="1"/>
    <col min="10237" max="10237" width="12" style="79" bestFit="1" customWidth="1"/>
    <col min="10238" max="10238" width="6.625" style="79" customWidth="1"/>
    <col min="10239" max="10239" width="6.375" style="79" customWidth="1"/>
    <col min="10240" max="10243" width="7.25" style="79"/>
    <col min="10244" max="10244" width="2.875" style="79" customWidth="1"/>
    <col min="10245" max="10245" width="10.125" style="79" customWidth="1"/>
    <col min="10246" max="10246" width="6" style="79" customWidth="1"/>
    <col min="10247" max="10247" width="5.875" style="79" customWidth="1"/>
    <col min="10248" max="10248" width="3.5" style="79" customWidth="1"/>
    <col min="10249" max="10249" width="3.875" style="79" customWidth="1"/>
    <col min="10250" max="10250" width="6.125" style="79" customWidth="1"/>
    <col min="10251" max="10251" width="4.125" style="79" customWidth="1"/>
    <col min="10252" max="10253" width="6.25" style="79" customWidth="1"/>
    <col min="10254" max="10254" width="5.25" style="79" customWidth="1"/>
    <col min="10255" max="10255" width="6.5" style="79" customWidth="1"/>
    <col min="10256" max="10256" width="5.625" style="79" customWidth="1"/>
    <col min="10257" max="10257" width="5.125" style="79" customWidth="1"/>
    <col min="10258" max="10258" width="9" style="79" customWidth="1"/>
    <col min="10259" max="10259" width="12.75" style="79" customWidth="1"/>
    <col min="10260" max="10260" width="3.875" style="79" customWidth="1"/>
    <col min="10261" max="10261" width="5.875" style="79" customWidth="1"/>
    <col min="10262" max="10262" width="5.75" style="79" customWidth="1"/>
    <col min="10263" max="10263" width="4.375" style="79" customWidth="1"/>
    <col min="10264" max="10264" width="8.875" style="79" customWidth="1"/>
    <col min="10265" max="10265" width="8.125" style="79" customWidth="1"/>
    <col min="10266" max="10266" width="9.125" style="79" customWidth="1"/>
    <col min="10267" max="10267" width="0" style="79" hidden="1" customWidth="1"/>
    <col min="10268" max="10268" width="5.75" style="79" customWidth="1"/>
    <col min="10269" max="10269" width="3.625" style="79" customWidth="1"/>
    <col min="10270" max="10270" width="7.625" style="79" customWidth="1"/>
    <col min="10271" max="10271" width="9.375" style="79" customWidth="1"/>
    <col min="10272" max="10272" width="0" style="79" hidden="1" customWidth="1"/>
    <col min="10273" max="10273" width="21.375" style="79" customWidth="1"/>
    <col min="10274" max="10274" width="6.25" style="79" customWidth="1"/>
    <col min="10275" max="10275" width="6" style="79" customWidth="1"/>
    <col min="10276" max="10276" width="16" style="79" customWidth="1"/>
    <col min="10277" max="10489" width="9" style="79" customWidth="1"/>
    <col min="10490" max="10490" width="2.625" style="79" customWidth="1"/>
    <col min="10491" max="10491" width="9.125" style="79" customWidth="1"/>
    <col min="10492" max="10492" width="2.625" style="79" customWidth="1"/>
    <col min="10493" max="10493" width="12" style="79" bestFit="1" customWidth="1"/>
    <col min="10494" max="10494" width="6.625" style="79" customWidth="1"/>
    <col min="10495" max="10495" width="6.375" style="79" customWidth="1"/>
    <col min="10496" max="10499" width="7.25" style="79"/>
    <col min="10500" max="10500" width="2.875" style="79" customWidth="1"/>
    <col min="10501" max="10501" width="10.125" style="79" customWidth="1"/>
    <col min="10502" max="10502" width="6" style="79" customWidth="1"/>
    <col min="10503" max="10503" width="5.875" style="79" customWidth="1"/>
    <col min="10504" max="10504" width="3.5" style="79" customWidth="1"/>
    <col min="10505" max="10505" width="3.875" style="79" customWidth="1"/>
    <col min="10506" max="10506" width="6.125" style="79" customWidth="1"/>
    <col min="10507" max="10507" width="4.125" style="79" customWidth="1"/>
    <col min="10508" max="10509" width="6.25" style="79" customWidth="1"/>
    <col min="10510" max="10510" width="5.25" style="79" customWidth="1"/>
    <col min="10511" max="10511" width="6.5" style="79" customWidth="1"/>
    <col min="10512" max="10512" width="5.625" style="79" customWidth="1"/>
    <col min="10513" max="10513" width="5.125" style="79" customWidth="1"/>
    <col min="10514" max="10514" width="9" style="79" customWidth="1"/>
    <col min="10515" max="10515" width="12.75" style="79" customWidth="1"/>
    <col min="10516" max="10516" width="3.875" style="79" customWidth="1"/>
    <col min="10517" max="10517" width="5.875" style="79" customWidth="1"/>
    <col min="10518" max="10518" width="5.75" style="79" customWidth="1"/>
    <col min="10519" max="10519" width="4.375" style="79" customWidth="1"/>
    <col min="10520" max="10520" width="8.875" style="79" customWidth="1"/>
    <col min="10521" max="10521" width="8.125" style="79" customWidth="1"/>
    <col min="10522" max="10522" width="9.125" style="79" customWidth="1"/>
    <col min="10523" max="10523" width="0" style="79" hidden="1" customWidth="1"/>
    <col min="10524" max="10524" width="5.75" style="79" customWidth="1"/>
    <col min="10525" max="10525" width="3.625" style="79" customWidth="1"/>
    <col min="10526" max="10526" width="7.625" style="79" customWidth="1"/>
    <col min="10527" max="10527" width="9.375" style="79" customWidth="1"/>
    <col min="10528" max="10528" width="0" style="79" hidden="1" customWidth="1"/>
    <col min="10529" max="10529" width="21.375" style="79" customWidth="1"/>
    <col min="10530" max="10530" width="6.25" style="79" customWidth="1"/>
    <col min="10531" max="10531" width="6" style="79" customWidth="1"/>
    <col min="10532" max="10532" width="16" style="79" customWidth="1"/>
    <col min="10533" max="10745" width="9" style="79" customWidth="1"/>
    <col min="10746" max="10746" width="2.625" style="79" customWidth="1"/>
    <col min="10747" max="10747" width="9.125" style="79" customWidth="1"/>
    <col min="10748" max="10748" width="2.625" style="79" customWidth="1"/>
    <col min="10749" max="10749" width="12" style="79" bestFit="1" customWidth="1"/>
    <col min="10750" max="10750" width="6.625" style="79" customWidth="1"/>
    <col min="10751" max="10751" width="6.375" style="79" customWidth="1"/>
    <col min="10752" max="10755" width="7.25" style="79"/>
    <col min="10756" max="10756" width="2.875" style="79" customWidth="1"/>
    <col min="10757" max="10757" width="10.125" style="79" customWidth="1"/>
    <col min="10758" max="10758" width="6" style="79" customWidth="1"/>
    <col min="10759" max="10759" width="5.875" style="79" customWidth="1"/>
    <col min="10760" max="10760" width="3.5" style="79" customWidth="1"/>
    <col min="10761" max="10761" width="3.875" style="79" customWidth="1"/>
    <col min="10762" max="10762" width="6.125" style="79" customWidth="1"/>
    <col min="10763" max="10763" width="4.125" style="79" customWidth="1"/>
    <col min="10764" max="10765" width="6.25" style="79" customWidth="1"/>
    <col min="10766" max="10766" width="5.25" style="79" customWidth="1"/>
    <col min="10767" max="10767" width="6.5" style="79" customWidth="1"/>
    <col min="10768" max="10768" width="5.625" style="79" customWidth="1"/>
    <col min="10769" max="10769" width="5.125" style="79" customWidth="1"/>
    <col min="10770" max="10770" width="9" style="79" customWidth="1"/>
    <col min="10771" max="10771" width="12.75" style="79" customWidth="1"/>
    <col min="10772" max="10772" width="3.875" style="79" customWidth="1"/>
    <col min="10773" max="10773" width="5.875" style="79" customWidth="1"/>
    <col min="10774" max="10774" width="5.75" style="79" customWidth="1"/>
    <col min="10775" max="10775" width="4.375" style="79" customWidth="1"/>
    <col min="10776" max="10776" width="8.875" style="79" customWidth="1"/>
    <col min="10777" max="10777" width="8.125" style="79" customWidth="1"/>
    <col min="10778" max="10778" width="9.125" style="79" customWidth="1"/>
    <col min="10779" max="10779" width="0" style="79" hidden="1" customWidth="1"/>
    <col min="10780" max="10780" width="5.75" style="79" customWidth="1"/>
    <col min="10781" max="10781" width="3.625" style="79" customWidth="1"/>
    <col min="10782" max="10782" width="7.625" style="79" customWidth="1"/>
    <col min="10783" max="10783" width="9.375" style="79" customWidth="1"/>
    <col min="10784" max="10784" width="0" style="79" hidden="1" customWidth="1"/>
    <col min="10785" max="10785" width="21.375" style="79" customWidth="1"/>
    <col min="10786" max="10786" width="6.25" style="79" customWidth="1"/>
    <col min="10787" max="10787" width="6" style="79" customWidth="1"/>
    <col min="10788" max="10788" width="16" style="79" customWidth="1"/>
    <col min="10789" max="11001" width="9" style="79" customWidth="1"/>
    <col min="11002" max="11002" width="2.625" style="79" customWidth="1"/>
    <col min="11003" max="11003" width="9.125" style="79" customWidth="1"/>
    <col min="11004" max="11004" width="2.625" style="79" customWidth="1"/>
    <col min="11005" max="11005" width="12" style="79" bestFit="1" customWidth="1"/>
    <col min="11006" max="11006" width="6.625" style="79" customWidth="1"/>
    <col min="11007" max="11007" width="6.375" style="79" customWidth="1"/>
    <col min="11008" max="11011" width="7.25" style="79"/>
    <col min="11012" max="11012" width="2.875" style="79" customWidth="1"/>
    <col min="11013" max="11013" width="10.125" style="79" customWidth="1"/>
    <col min="11014" max="11014" width="6" style="79" customWidth="1"/>
    <col min="11015" max="11015" width="5.875" style="79" customWidth="1"/>
    <col min="11016" max="11016" width="3.5" style="79" customWidth="1"/>
    <col min="11017" max="11017" width="3.875" style="79" customWidth="1"/>
    <col min="11018" max="11018" width="6.125" style="79" customWidth="1"/>
    <col min="11019" max="11019" width="4.125" style="79" customWidth="1"/>
    <col min="11020" max="11021" width="6.25" style="79" customWidth="1"/>
    <col min="11022" max="11022" width="5.25" style="79" customWidth="1"/>
    <col min="11023" max="11023" width="6.5" style="79" customWidth="1"/>
    <col min="11024" max="11024" width="5.625" style="79" customWidth="1"/>
    <col min="11025" max="11025" width="5.125" style="79" customWidth="1"/>
    <col min="11026" max="11026" width="9" style="79" customWidth="1"/>
    <col min="11027" max="11027" width="12.75" style="79" customWidth="1"/>
    <col min="11028" max="11028" width="3.875" style="79" customWidth="1"/>
    <col min="11029" max="11029" width="5.875" style="79" customWidth="1"/>
    <col min="11030" max="11030" width="5.75" style="79" customWidth="1"/>
    <col min="11031" max="11031" width="4.375" style="79" customWidth="1"/>
    <col min="11032" max="11032" width="8.875" style="79" customWidth="1"/>
    <col min="11033" max="11033" width="8.125" style="79" customWidth="1"/>
    <col min="11034" max="11034" width="9.125" style="79" customWidth="1"/>
    <col min="11035" max="11035" width="0" style="79" hidden="1" customWidth="1"/>
    <col min="11036" max="11036" width="5.75" style="79" customWidth="1"/>
    <col min="11037" max="11037" width="3.625" style="79" customWidth="1"/>
    <col min="11038" max="11038" width="7.625" style="79" customWidth="1"/>
    <col min="11039" max="11039" width="9.375" style="79" customWidth="1"/>
    <col min="11040" max="11040" width="0" style="79" hidden="1" customWidth="1"/>
    <col min="11041" max="11041" width="21.375" style="79" customWidth="1"/>
    <col min="11042" max="11042" width="6.25" style="79" customWidth="1"/>
    <col min="11043" max="11043" width="6" style="79" customWidth="1"/>
    <col min="11044" max="11044" width="16" style="79" customWidth="1"/>
    <col min="11045" max="11257" width="9" style="79" customWidth="1"/>
    <col min="11258" max="11258" width="2.625" style="79" customWidth="1"/>
    <col min="11259" max="11259" width="9.125" style="79" customWidth="1"/>
    <col min="11260" max="11260" width="2.625" style="79" customWidth="1"/>
    <col min="11261" max="11261" width="12" style="79" bestFit="1" customWidth="1"/>
    <col min="11262" max="11262" width="6.625" style="79" customWidth="1"/>
    <col min="11263" max="11263" width="6.375" style="79" customWidth="1"/>
    <col min="11264" max="11267" width="7.25" style="79"/>
    <col min="11268" max="11268" width="2.875" style="79" customWidth="1"/>
    <col min="11269" max="11269" width="10.125" style="79" customWidth="1"/>
    <col min="11270" max="11270" width="6" style="79" customWidth="1"/>
    <col min="11271" max="11271" width="5.875" style="79" customWidth="1"/>
    <col min="11272" max="11272" width="3.5" style="79" customWidth="1"/>
    <col min="11273" max="11273" width="3.875" style="79" customWidth="1"/>
    <col min="11274" max="11274" width="6.125" style="79" customWidth="1"/>
    <col min="11275" max="11275" width="4.125" style="79" customWidth="1"/>
    <col min="11276" max="11277" width="6.25" style="79" customWidth="1"/>
    <col min="11278" max="11278" width="5.25" style="79" customWidth="1"/>
    <col min="11279" max="11279" width="6.5" style="79" customWidth="1"/>
    <col min="11280" max="11280" width="5.625" style="79" customWidth="1"/>
    <col min="11281" max="11281" width="5.125" style="79" customWidth="1"/>
    <col min="11282" max="11282" width="9" style="79" customWidth="1"/>
    <col min="11283" max="11283" width="12.75" style="79" customWidth="1"/>
    <col min="11284" max="11284" width="3.875" style="79" customWidth="1"/>
    <col min="11285" max="11285" width="5.875" style="79" customWidth="1"/>
    <col min="11286" max="11286" width="5.75" style="79" customWidth="1"/>
    <col min="11287" max="11287" width="4.375" style="79" customWidth="1"/>
    <col min="11288" max="11288" width="8.875" style="79" customWidth="1"/>
    <col min="11289" max="11289" width="8.125" style="79" customWidth="1"/>
    <col min="11290" max="11290" width="9.125" style="79" customWidth="1"/>
    <col min="11291" max="11291" width="0" style="79" hidden="1" customWidth="1"/>
    <col min="11292" max="11292" width="5.75" style="79" customWidth="1"/>
    <col min="11293" max="11293" width="3.625" style="79" customWidth="1"/>
    <col min="11294" max="11294" width="7.625" style="79" customWidth="1"/>
    <col min="11295" max="11295" width="9.375" style="79" customWidth="1"/>
    <col min="11296" max="11296" width="0" style="79" hidden="1" customWidth="1"/>
    <col min="11297" max="11297" width="21.375" style="79" customWidth="1"/>
    <col min="11298" max="11298" width="6.25" style="79" customWidth="1"/>
    <col min="11299" max="11299" width="6" style="79" customWidth="1"/>
    <col min="11300" max="11300" width="16" style="79" customWidth="1"/>
    <col min="11301" max="11513" width="9" style="79" customWidth="1"/>
    <col min="11514" max="11514" width="2.625" style="79" customWidth="1"/>
    <col min="11515" max="11515" width="9.125" style="79" customWidth="1"/>
    <col min="11516" max="11516" width="2.625" style="79" customWidth="1"/>
    <col min="11517" max="11517" width="12" style="79" bestFit="1" customWidth="1"/>
    <col min="11518" max="11518" width="6.625" style="79" customWidth="1"/>
    <col min="11519" max="11519" width="6.375" style="79" customWidth="1"/>
    <col min="11520" max="11523" width="7.25" style="79"/>
    <col min="11524" max="11524" width="2.875" style="79" customWidth="1"/>
    <col min="11525" max="11525" width="10.125" style="79" customWidth="1"/>
    <col min="11526" max="11526" width="6" style="79" customWidth="1"/>
    <col min="11527" max="11527" width="5.875" style="79" customWidth="1"/>
    <col min="11528" max="11528" width="3.5" style="79" customWidth="1"/>
    <col min="11529" max="11529" width="3.875" style="79" customWidth="1"/>
    <col min="11530" max="11530" width="6.125" style="79" customWidth="1"/>
    <col min="11531" max="11531" width="4.125" style="79" customWidth="1"/>
    <col min="11532" max="11533" width="6.25" style="79" customWidth="1"/>
    <col min="11534" max="11534" width="5.25" style="79" customWidth="1"/>
    <col min="11535" max="11535" width="6.5" style="79" customWidth="1"/>
    <col min="11536" max="11536" width="5.625" style="79" customWidth="1"/>
    <col min="11537" max="11537" width="5.125" style="79" customWidth="1"/>
    <col min="11538" max="11538" width="9" style="79" customWidth="1"/>
    <col min="11539" max="11539" width="12.75" style="79" customWidth="1"/>
    <col min="11540" max="11540" width="3.875" style="79" customWidth="1"/>
    <col min="11541" max="11541" width="5.875" style="79" customWidth="1"/>
    <col min="11542" max="11542" width="5.75" style="79" customWidth="1"/>
    <col min="11543" max="11543" width="4.375" style="79" customWidth="1"/>
    <col min="11544" max="11544" width="8.875" style="79" customWidth="1"/>
    <col min="11545" max="11545" width="8.125" style="79" customWidth="1"/>
    <col min="11546" max="11546" width="9.125" style="79" customWidth="1"/>
    <col min="11547" max="11547" width="0" style="79" hidden="1" customWidth="1"/>
    <col min="11548" max="11548" width="5.75" style="79" customWidth="1"/>
    <col min="11549" max="11549" width="3.625" style="79" customWidth="1"/>
    <col min="11550" max="11550" width="7.625" style="79" customWidth="1"/>
    <col min="11551" max="11551" width="9.375" style="79" customWidth="1"/>
    <col min="11552" max="11552" width="0" style="79" hidden="1" customWidth="1"/>
    <col min="11553" max="11553" width="21.375" style="79" customWidth="1"/>
    <col min="11554" max="11554" width="6.25" style="79" customWidth="1"/>
    <col min="11555" max="11555" width="6" style="79" customWidth="1"/>
    <col min="11556" max="11556" width="16" style="79" customWidth="1"/>
    <col min="11557" max="11769" width="9" style="79" customWidth="1"/>
    <col min="11770" max="11770" width="2.625" style="79" customWidth="1"/>
    <col min="11771" max="11771" width="9.125" style="79" customWidth="1"/>
    <col min="11772" max="11772" width="2.625" style="79" customWidth="1"/>
    <col min="11773" max="11773" width="12" style="79" bestFit="1" customWidth="1"/>
    <col min="11774" max="11774" width="6.625" style="79" customWidth="1"/>
    <col min="11775" max="11775" width="6.375" style="79" customWidth="1"/>
    <col min="11776" max="11779" width="7.25" style="79"/>
    <col min="11780" max="11780" width="2.875" style="79" customWidth="1"/>
    <col min="11781" max="11781" width="10.125" style="79" customWidth="1"/>
    <col min="11782" max="11782" width="6" style="79" customWidth="1"/>
    <col min="11783" max="11783" width="5.875" style="79" customWidth="1"/>
    <col min="11784" max="11784" width="3.5" style="79" customWidth="1"/>
    <col min="11785" max="11785" width="3.875" style="79" customWidth="1"/>
    <col min="11786" max="11786" width="6.125" style="79" customWidth="1"/>
    <col min="11787" max="11787" width="4.125" style="79" customWidth="1"/>
    <col min="11788" max="11789" width="6.25" style="79" customWidth="1"/>
    <col min="11790" max="11790" width="5.25" style="79" customWidth="1"/>
    <col min="11791" max="11791" width="6.5" style="79" customWidth="1"/>
    <col min="11792" max="11792" width="5.625" style="79" customWidth="1"/>
    <col min="11793" max="11793" width="5.125" style="79" customWidth="1"/>
    <col min="11794" max="11794" width="9" style="79" customWidth="1"/>
    <col min="11795" max="11795" width="12.75" style="79" customWidth="1"/>
    <col min="11796" max="11796" width="3.875" style="79" customWidth="1"/>
    <col min="11797" max="11797" width="5.875" style="79" customWidth="1"/>
    <col min="11798" max="11798" width="5.75" style="79" customWidth="1"/>
    <col min="11799" max="11799" width="4.375" style="79" customWidth="1"/>
    <col min="11800" max="11800" width="8.875" style="79" customWidth="1"/>
    <col min="11801" max="11801" width="8.125" style="79" customWidth="1"/>
    <col min="11802" max="11802" width="9.125" style="79" customWidth="1"/>
    <col min="11803" max="11803" width="0" style="79" hidden="1" customWidth="1"/>
    <col min="11804" max="11804" width="5.75" style="79" customWidth="1"/>
    <col min="11805" max="11805" width="3.625" style="79" customWidth="1"/>
    <col min="11806" max="11806" width="7.625" style="79" customWidth="1"/>
    <col min="11807" max="11807" width="9.375" style="79" customWidth="1"/>
    <col min="11808" max="11808" width="0" style="79" hidden="1" customWidth="1"/>
    <col min="11809" max="11809" width="21.375" style="79" customWidth="1"/>
    <col min="11810" max="11810" width="6.25" style="79" customWidth="1"/>
    <col min="11811" max="11811" width="6" style="79" customWidth="1"/>
    <col min="11812" max="11812" width="16" style="79" customWidth="1"/>
    <col min="11813" max="12025" width="9" style="79" customWidth="1"/>
    <col min="12026" max="12026" width="2.625" style="79" customWidth="1"/>
    <col min="12027" max="12027" width="9.125" style="79" customWidth="1"/>
    <col min="12028" max="12028" width="2.625" style="79" customWidth="1"/>
    <col min="12029" max="12029" width="12" style="79" bestFit="1" customWidth="1"/>
    <col min="12030" max="12030" width="6.625" style="79" customWidth="1"/>
    <col min="12031" max="12031" width="6.375" style="79" customWidth="1"/>
    <col min="12032" max="12035" width="7.25" style="79"/>
    <col min="12036" max="12036" width="2.875" style="79" customWidth="1"/>
    <col min="12037" max="12037" width="10.125" style="79" customWidth="1"/>
    <col min="12038" max="12038" width="6" style="79" customWidth="1"/>
    <col min="12039" max="12039" width="5.875" style="79" customWidth="1"/>
    <col min="12040" max="12040" width="3.5" style="79" customWidth="1"/>
    <col min="12041" max="12041" width="3.875" style="79" customWidth="1"/>
    <col min="12042" max="12042" width="6.125" style="79" customWidth="1"/>
    <col min="12043" max="12043" width="4.125" style="79" customWidth="1"/>
    <col min="12044" max="12045" width="6.25" style="79" customWidth="1"/>
    <col min="12046" max="12046" width="5.25" style="79" customWidth="1"/>
    <col min="12047" max="12047" width="6.5" style="79" customWidth="1"/>
    <col min="12048" max="12048" width="5.625" style="79" customWidth="1"/>
    <col min="12049" max="12049" width="5.125" style="79" customWidth="1"/>
    <col min="12050" max="12050" width="9" style="79" customWidth="1"/>
    <col min="12051" max="12051" width="12.75" style="79" customWidth="1"/>
    <col min="12052" max="12052" width="3.875" style="79" customWidth="1"/>
    <col min="12053" max="12053" width="5.875" style="79" customWidth="1"/>
    <col min="12054" max="12054" width="5.75" style="79" customWidth="1"/>
    <col min="12055" max="12055" width="4.375" style="79" customWidth="1"/>
    <col min="12056" max="12056" width="8.875" style="79" customWidth="1"/>
    <col min="12057" max="12057" width="8.125" style="79" customWidth="1"/>
    <col min="12058" max="12058" width="9.125" style="79" customWidth="1"/>
    <col min="12059" max="12059" width="0" style="79" hidden="1" customWidth="1"/>
    <col min="12060" max="12060" width="5.75" style="79" customWidth="1"/>
    <col min="12061" max="12061" width="3.625" style="79" customWidth="1"/>
    <col min="12062" max="12062" width="7.625" style="79" customWidth="1"/>
    <col min="12063" max="12063" width="9.375" style="79" customWidth="1"/>
    <col min="12064" max="12064" width="0" style="79" hidden="1" customWidth="1"/>
    <col min="12065" max="12065" width="21.375" style="79" customWidth="1"/>
    <col min="12066" max="12066" width="6.25" style="79" customWidth="1"/>
    <col min="12067" max="12067" width="6" style="79" customWidth="1"/>
    <col min="12068" max="12068" width="16" style="79" customWidth="1"/>
    <col min="12069" max="12281" width="9" style="79" customWidth="1"/>
    <col min="12282" max="12282" width="2.625" style="79" customWidth="1"/>
    <col min="12283" max="12283" width="9.125" style="79" customWidth="1"/>
    <col min="12284" max="12284" width="2.625" style="79" customWidth="1"/>
    <col min="12285" max="12285" width="12" style="79" bestFit="1" customWidth="1"/>
    <col min="12286" max="12286" width="6.625" style="79" customWidth="1"/>
    <col min="12287" max="12287" width="6.375" style="79" customWidth="1"/>
    <col min="12288" max="12291" width="7.25" style="79"/>
    <col min="12292" max="12292" width="2.875" style="79" customWidth="1"/>
    <col min="12293" max="12293" width="10.125" style="79" customWidth="1"/>
    <col min="12294" max="12294" width="6" style="79" customWidth="1"/>
    <col min="12295" max="12295" width="5.875" style="79" customWidth="1"/>
    <col min="12296" max="12296" width="3.5" style="79" customWidth="1"/>
    <col min="12297" max="12297" width="3.875" style="79" customWidth="1"/>
    <col min="12298" max="12298" width="6.125" style="79" customWidth="1"/>
    <col min="12299" max="12299" width="4.125" style="79" customWidth="1"/>
    <col min="12300" max="12301" width="6.25" style="79" customWidth="1"/>
    <col min="12302" max="12302" width="5.25" style="79" customWidth="1"/>
    <col min="12303" max="12303" width="6.5" style="79" customWidth="1"/>
    <col min="12304" max="12304" width="5.625" style="79" customWidth="1"/>
    <col min="12305" max="12305" width="5.125" style="79" customWidth="1"/>
    <col min="12306" max="12306" width="9" style="79" customWidth="1"/>
    <col min="12307" max="12307" width="12.75" style="79" customWidth="1"/>
    <col min="12308" max="12308" width="3.875" style="79" customWidth="1"/>
    <col min="12309" max="12309" width="5.875" style="79" customWidth="1"/>
    <col min="12310" max="12310" width="5.75" style="79" customWidth="1"/>
    <col min="12311" max="12311" width="4.375" style="79" customWidth="1"/>
    <col min="12312" max="12312" width="8.875" style="79" customWidth="1"/>
    <col min="12313" max="12313" width="8.125" style="79" customWidth="1"/>
    <col min="12314" max="12314" width="9.125" style="79" customWidth="1"/>
    <col min="12315" max="12315" width="0" style="79" hidden="1" customWidth="1"/>
    <col min="12316" max="12316" width="5.75" style="79" customWidth="1"/>
    <col min="12317" max="12317" width="3.625" style="79" customWidth="1"/>
    <col min="12318" max="12318" width="7.625" style="79" customWidth="1"/>
    <col min="12319" max="12319" width="9.375" style="79" customWidth="1"/>
    <col min="12320" max="12320" width="0" style="79" hidden="1" customWidth="1"/>
    <col min="12321" max="12321" width="21.375" style="79" customWidth="1"/>
    <col min="12322" max="12322" width="6.25" style="79" customWidth="1"/>
    <col min="12323" max="12323" width="6" style="79" customWidth="1"/>
    <col min="12324" max="12324" width="16" style="79" customWidth="1"/>
    <col min="12325" max="12537" width="9" style="79" customWidth="1"/>
    <col min="12538" max="12538" width="2.625" style="79" customWidth="1"/>
    <col min="12539" max="12539" width="9.125" style="79" customWidth="1"/>
    <col min="12540" max="12540" width="2.625" style="79" customWidth="1"/>
    <col min="12541" max="12541" width="12" style="79" bestFit="1" customWidth="1"/>
    <col min="12542" max="12542" width="6.625" style="79" customWidth="1"/>
    <col min="12543" max="12543" width="6.375" style="79" customWidth="1"/>
    <col min="12544" max="12547" width="7.25" style="79"/>
    <col min="12548" max="12548" width="2.875" style="79" customWidth="1"/>
    <col min="12549" max="12549" width="10.125" style="79" customWidth="1"/>
    <col min="12550" max="12550" width="6" style="79" customWidth="1"/>
    <col min="12551" max="12551" width="5.875" style="79" customWidth="1"/>
    <col min="12552" max="12552" width="3.5" style="79" customWidth="1"/>
    <col min="12553" max="12553" width="3.875" style="79" customWidth="1"/>
    <col min="12554" max="12554" width="6.125" style="79" customWidth="1"/>
    <col min="12555" max="12555" width="4.125" style="79" customWidth="1"/>
    <col min="12556" max="12557" width="6.25" style="79" customWidth="1"/>
    <col min="12558" max="12558" width="5.25" style="79" customWidth="1"/>
    <col min="12559" max="12559" width="6.5" style="79" customWidth="1"/>
    <col min="12560" max="12560" width="5.625" style="79" customWidth="1"/>
    <col min="12561" max="12561" width="5.125" style="79" customWidth="1"/>
    <col min="12562" max="12562" width="9" style="79" customWidth="1"/>
    <col min="12563" max="12563" width="12.75" style="79" customWidth="1"/>
    <col min="12564" max="12564" width="3.875" style="79" customWidth="1"/>
    <col min="12565" max="12565" width="5.875" style="79" customWidth="1"/>
    <col min="12566" max="12566" width="5.75" style="79" customWidth="1"/>
    <col min="12567" max="12567" width="4.375" style="79" customWidth="1"/>
    <col min="12568" max="12568" width="8.875" style="79" customWidth="1"/>
    <col min="12569" max="12569" width="8.125" style="79" customWidth="1"/>
    <col min="12570" max="12570" width="9.125" style="79" customWidth="1"/>
    <col min="12571" max="12571" width="0" style="79" hidden="1" customWidth="1"/>
    <col min="12572" max="12572" width="5.75" style="79" customWidth="1"/>
    <col min="12573" max="12573" width="3.625" style="79" customWidth="1"/>
    <col min="12574" max="12574" width="7.625" style="79" customWidth="1"/>
    <col min="12575" max="12575" width="9.375" style="79" customWidth="1"/>
    <col min="12576" max="12576" width="0" style="79" hidden="1" customWidth="1"/>
    <col min="12577" max="12577" width="21.375" style="79" customWidth="1"/>
    <col min="12578" max="12578" width="6.25" style="79" customWidth="1"/>
    <col min="12579" max="12579" width="6" style="79" customWidth="1"/>
    <col min="12580" max="12580" width="16" style="79" customWidth="1"/>
    <col min="12581" max="12793" width="9" style="79" customWidth="1"/>
    <col min="12794" max="12794" width="2.625" style="79" customWidth="1"/>
    <col min="12795" max="12795" width="9.125" style="79" customWidth="1"/>
    <col min="12796" max="12796" width="2.625" style="79" customWidth="1"/>
    <col min="12797" max="12797" width="12" style="79" bestFit="1" customWidth="1"/>
    <col min="12798" max="12798" width="6.625" style="79" customWidth="1"/>
    <col min="12799" max="12799" width="6.375" style="79" customWidth="1"/>
    <col min="12800" max="12803" width="7.25" style="79"/>
    <col min="12804" max="12804" width="2.875" style="79" customWidth="1"/>
    <col min="12805" max="12805" width="10.125" style="79" customWidth="1"/>
    <col min="12806" max="12806" width="6" style="79" customWidth="1"/>
    <col min="12807" max="12807" width="5.875" style="79" customWidth="1"/>
    <col min="12808" max="12808" width="3.5" style="79" customWidth="1"/>
    <col min="12809" max="12809" width="3.875" style="79" customWidth="1"/>
    <col min="12810" max="12810" width="6.125" style="79" customWidth="1"/>
    <col min="12811" max="12811" width="4.125" style="79" customWidth="1"/>
    <col min="12812" max="12813" width="6.25" style="79" customWidth="1"/>
    <col min="12814" max="12814" width="5.25" style="79" customWidth="1"/>
    <col min="12815" max="12815" width="6.5" style="79" customWidth="1"/>
    <col min="12816" max="12816" width="5.625" style="79" customWidth="1"/>
    <col min="12817" max="12817" width="5.125" style="79" customWidth="1"/>
    <col min="12818" max="12818" width="9" style="79" customWidth="1"/>
    <col min="12819" max="12819" width="12.75" style="79" customWidth="1"/>
    <col min="12820" max="12820" width="3.875" style="79" customWidth="1"/>
    <col min="12821" max="12821" width="5.875" style="79" customWidth="1"/>
    <col min="12822" max="12822" width="5.75" style="79" customWidth="1"/>
    <col min="12823" max="12823" width="4.375" style="79" customWidth="1"/>
    <col min="12824" max="12824" width="8.875" style="79" customWidth="1"/>
    <col min="12825" max="12825" width="8.125" style="79" customWidth="1"/>
    <col min="12826" max="12826" width="9.125" style="79" customWidth="1"/>
    <col min="12827" max="12827" width="0" style="79" hidden="1" customWidth="1"/>
    <col min="12828" max="12828" width="5.75" style="79" customWidth="1"/>
    <col min="12829" max="12829" width="3.625" style="79" customWidth="1"/>
    <col min="12830" max="12830" width="7.625" style="79" customWidth="1"/>
    <col min="12831" max="12831" width="9.375" style="79" customWidth="1"/>
    <col min="12832" max="12832" width="0" style="79" hidden="1" customWidth="1"/>
    <col min="12833" max="12833" width="21.375" style="79" customWidth="1"/>
    <col min="12834" max="12834" width="6.25" style="79" customWidth="1"/>
    <col min="12835" max="12835" width="6" style="79" customWidth="1"/>
    <col min="12836" max="12836" width="16" style="79" customWidth="1"/>
    <col min="12837" max="13049" width="9" style="79" customWidth="1"/>
    <col min="13050" max="13050" width="2.625" style="79" customWidth="1"/>
    <col min="13051" max="13051" width="9.125" style="79" customWidth="1"/>
    <col min="13052" max="13052" width="2.625" style="79" customWidth="1"/>
    <col min="13053" max="13053" width="12" style="79" bestFit="1" customWidth="1"/>
    <col min="13054" max="13054" width="6.625" style="79" customWidth="1"/>
    <col min="13055" max="13055" width="6.375" style="79" customWidth="1"/>
    <col min="13056" max="13059" width="7.25" style="79"/>
    <col min="13060" max="13060" width="2.875" style="79" customWidth="1"/>
    <col min="13061" max="13061" width="10.125" style="79" customWidth="1"/>
    <col min="13062" max="13062" width="6" style="79" customWidth="1"/>
    <col min="13063" max="13063" width="5.875" style="79" customWidth="1"/>
    <col min="13064" max="13064" width="3.5" style="79" customWidth="1"/>
    <col min="13065" max="13065" width="3.875" style="79" customWidth="1"/>
    <col min="13066" max="13066" width="6.125" style="79" customWidth="1"/>
    <col min="13067" max="13067" width="4.125" style="79" customWidth="1"/>
    <col min="13068" max="13069" width="6.25" style="79" customWidth="1"/>
    <col min="13070" max="13070" width="5.25" style="79" customWidth="1"/>
    <col min="13071" max="13071" width="6.5" style="79" customWidth="1"/>
    <col min="13072" max="13072" width="5.625" style="79" customWidth="1"/>
    <col min="13073" max="13073" width="5.125" style="79" customWidth="1"/>
    <col min="13074" max="13074" width="9" style="79" customWidth="1"/>
    <col min="13075" max="13075" width="12.75" style="79" customWidth="1"/>
    <col min="13076" max="13076" width="3.875" style="79" customWidth="1"/>
    <col min="13077" max="13077" width="5.875" style="79" customWidth="1"/>
    <col min="13078" max="13078" width="5.75" style="79" customWidth="1"/>
    <col min="13079" max="13079" width="4.375" style="79" customWidth="1"/>
    <col min="13080" max="13080" width="8.875" style="79" customWidth="1"/>
    <col min="13081" max="13081" width="8.125" style="79" customWidth="1"/>
    <col min="13082" max="13082" width="9.125" style="79" customWidth="1"/>
    <col min="13083" max="13083" width="0" style="79" hidden="1" customWidth="1"/>
    <col min="13084" max="13084" width="5.75" style="79" customWidth="1"/>
    <col min="13085" max="13085" width="3.625" style="79" customWidth="1"/>
    <col min="13086" max="13086" width="7.625" style="79" customWidth="1"/>
    <col min="13087" max="13087" width="9.375" style="79" customWidth="1"/>
    <col min="13088" max="13088" width="0" style="79" hidden="1" customWidth="1"/>
    <col min="13089" max="13089" width="21.375" style="79" customWidth="1"/>
    <col min="13090" max="13090" width="6.25" style="79" customWidth="1"/>
    <col min="13091" max="13091" width="6" style="79" customWidth="1"/>
    <col min="13092" max="13092" width="16" style="79" customWidth="1"/>
    <col min="13093" max="13305" width="9" style="79" customWidth="1"/>
    <col min="13306" max="13306" width="2.625" style="79" customWidth="1"/>
    <col min="13307" max="13307" width="9.125" style="79" customWidth="1"/>
    <col min="13308" max="13308" width="2.625" style="79" customWidth="1"/>
    <col min="13309" max="13309" width="12" style="79" bestFit="1" customWidth="1"/>
    <col min="13310" max="13310" width="6.625" style="79" customWidth="1"/>
    <col min="13311" max="13311" width="6.375" style="79" customWidth="1"/>
    <col min="13312" max="13315" width="7.25" style="79"/>
    <col min="13316" max="13316" width="2.875" style="79" customWidth="1"/>
    <col min="13317" max="13317" width="10.125" style="79" customWidth="1"/>
    <col min="13318" max="13318" width="6" style="79" customWidth="1"/>
    <col min="13319" max="13319" width="5.875" style="79" customWidth="1"/>
    <col min="13320" max="13320" width="3.5" style="79" customWidth="1"/>
    <col min="13321" max="13321" width="3.875" style="79" customWidth="1"/>
    <col min="13322" max="13322" width="6.125" style="79" customWidth="1"/>
    <col min="13323" max="13323" width="4.125" style="79" customWidth="1"/>
    <col min="13324" max="13325" width="6.25" style="79" customWidth="1"/>
    <col min="13326" max="13326" width="5.25" style="79" customWidth="1"/>
    <col min="13327" max="13327" width="6.5" style="79" customWidth="1"/>
    <col min="13328" max="13328" width="5.625" style="79" customWidth="1"/>
    <col min="13329" max="13329" width="5.125" style="79" customWidth="1"/>
    <col min="13330" max="13330" width="9" style="79" customWidth="1"/>
    <col min="13331" max="13331" width="12.75" style="79" customWidth="1"/>
    <col min="13332" max="13332" width="3.875" style="79" customWidth="1"/>
    <col min="13333" max="13333" width="5.875" style="79" customWidth="1"/>
    <col min="13334" max="13334" width="5.75" style="79" customWidth="1"/>
    <col min="13335" max="13335" width="4.375" style="79" customWidth="1"/>
    <col min="13336" max="13336" width="8.875" style="79" customWidth="1"/>
    <col min="13337" max="13337" width="8.125" style="79" customWidth="1"/>
    <col min="13338" max="13338" width="9.125" style="79" customWidth="1"/>
    <col min="13339" max="13339" width="0" style="79" hidden="1" customWidth="1"/>
    <col min="13340" max="13340" width="5.75" style="79" customWidth="1"/>
    <col min="13341" max="13341" width="3.625" style="79" customWidth="1"/>
    <col min="13342" max="13342" width="7.625" style="79" customWidth="1"/>
    <col min="13343" max="13343" width="9.375" style="79" customWidth="1"/>
    <col min="13344" max="13344" width="0" style="79" hidden="1" customWidth="1"/>
    <col min="13345" max="13345" width="21.375" style="79" customWidth="1"/>
    <col min="13346" max="13346" width="6.25" style="79" customWidth="1"/>
    <col min="13347" max="13347" width="6" style="79" customWidth="1"/>
    <col min="13348" max="13348" width="16" style="79" customWidth="1"/>
    <col min="13349" max="13561" width="9" style="79" customWidth="1"/>
    <col min="13562" max="13562" width="2.625" style="79" customWidth="1"/>
    <col min="13563" max="13563" width="9.125" style="79" customWidth="1"/>
    <col min="13564" max="13564" width="2.625" style="79" customWidth="1"/>
    <col min="13565" max="13565" width="12" style="79" bestFit="1" customWidth="1"/>
    <col min="13566" max="13566" width="6.625" style="79" customWidth="1"/>
    <col min="13567" max="13567" width="6.375" style="79" customWidth="1"/>
    <col min="13568" max="13571" width="7.25" style="79"/>
    <col min="13572" max="13572" width="2.875" style="79" customWidth="1"/>
    <col min="13573" max="13573" width="10.125" style="79" customWidth="1"/>
    <col min="13574" max="13574" width="6" style="79" customWidth="1"/>
    <col min="13575" max="13575" width="5.875" style="79" customWidth="1"/>
    <col min="13576" max="13576" width="3.5" style="79" customWidth="1"/>
    <col min="13577" max="13577" width="3.875" style="79" customWidth="1"/>
    <col min="13578" max="13578" width="6.125" style="79" customWidth="1"/>
    <col min="13579" max="13579" width="4.125" style="79" customWidth="1"/>
    <col min="13580" max="13581" width="6.25" style="79" customWidth="1"/>
    <col min="13582" max="13582" width="5.25" style="79" customWidth="1"/>
    <col min="13583" max="13583" width="6.5" style="79" customWidth="1"/>
    <col min="13584" max="13584" width="5.625" style="79" customWidth="1"/>
    <col min="13585" max="13585" width="5.125" style="79" customWidth="1"/>
    <col min="13586" max="13586" width="9" style="79" customWidth="1"/>
    <col min="13587" max="13587" width="12.75" style="79" customWidth="1"/>
    <col min="13588" max="13588" width="3.875" style="79" customWidth="1"/>
    <col min="13589" max="13589" width="5.875" style="79" customWidth="1"/>
    <col min="13590" max="13590" width="5.75" style="79" customWidth="1"/>
    <col min="13591" max="13591" width="4.375" style="79" customWidth="1"/>
    <col min="13592" max="13592" width="8.875" style="79" customWidth="1"/>
    <col min="13593" max="13593" width="8.125" style="79" customWidth="1"/>
    <col min="13594" max="13594" width="9.125" style="79" customWidth="1"/>
    <col min="13595" max="13595" width="0" style="79" hidden="1" customWidth="1"/>
    <col min="13596" max="13596" width="5.75" style="79" customWidth="1"/>
    <col min="13597" max="13597" width="3.625" style="79" customWidth="1"/>
    <col min="13598" max="13598" width="7.625" style="79" customWidth="1"/>
    <col min="13599" max="13599" width="9.375" style="79" customWidth="1"/>
    <col min="13600" max="13600" width="0" style="79" hidden="1" customWidth="1"/>
    <col min="13601" max="13601" width="21.375" style="79" customWidth="1"/>
    <col min="13602" max="13602" width="6.25" style="79" customWidth="1"/>
    <col min="13603" max="13603" width="6" style="79" customWidth="1"/>
    <col min="13604" max="13604" width="16" style="79" customWidth="1"/>
    <col min="13605" max="13817" width="9" style="79" customWidth="1"/>
    <col min="13818" max="13818" width="2.625" style="79" customWidth="1"/>
    <col min="13819" max="13819" width="9.125" style="79" customWidth="1"/>
    <col min="13820" max="13820" width="2.625" style="79" customWidth="1"/>
    <col min="13821" max="13821" width="12" style="79" bestFit="1" customWidth="1"/>
    <col min="13822" max="13822" width="6.625" style="79" customWidth="1"/>
    <col min="13823" max="13823" width="6.375" style="79" customWidth="1"/>
    <col min="13824" max="13827" width="7.25" style="79"/>
    <col min="13828" max="13828" width="2.875" style="79" customWidth="1"/>
    <col min="13829" max="13829" width="10.125" style="79" customWidth="1"/>
    <col min="13830" max="13830" width="6" style="79" customWidth="1"/>
    <col min="13831" max="13831" width="5.875" style="79" customWidth="1"/>
    <col min="13832" max="13832" width="3.5" style="79" customWidth="1"/>
    <col min="13833" max="13833" width="3.875" style="79" customWidth="1"/>
    <col min="13834" max="13834" width="6.125" style="79" customWidth="1"/>
    <col min="13835" max="13835" width="4.125" style="79" customWidth="1"/>
    <col min="13836" max="13837" width="6.25" style="79" customWidth="1"/>
    <col min="13838" max="13838" width="5.25" style="79" customWidth="1"/>
    <col min="13839" max="13839" width="6.5" style="79" customWidth="1"/>
    <col min="13840" max="13840" width="5.625" style="79" customWidth="1"/>
    <col min="13841" max="13841" width="5.125" style="79" customWidth="1"/>
    <col min="13842" max="13842" width="9" style="79" customWidth="1"/>
    <col min="13843" max="13843" width="12.75" style="79" customWidth="1"/>
    <col min="13844" max="13844" width="3.875" style="79" customWidth="1"/>
    <col min="13845" max="13845" width="5.875" style="79" customWidth="1"/>
    <col min="13846" max="13846" width="5.75" style="79" customWidth="1"/>
    <col min="13847" max="13847" width="4.375" style="79" customWidth="1"/>
    <col min="13848" max="13848" width="8.875" style="79" customWidth="1"/>
    <col min="13849" max="13849" width="8.125" style="79" customWidth="1"/>
    <col min="13850" max="13850" width="9.125" style="79" customWidth="1"/>
    <col min="13851" max="13851" width="0" style="79" hidden="1" customWidth="1"/>
    <col min="13852" max="13852" width="5.75" style="79" customWidth="1"/>
    <col min="13853" max="13853" width="3.625" style="79" customWidth="1"/>
    <col min="13854" max="13854" width="7.625" style="79" customWidth="1"/>
    <col min="13855" max="13855" width="9.375" style="79" customWidth="1"/>
    <col min="13856" max="13856" width="0" style="79" hidden="1" customWidth="1"/>
    <col min="13857" max="13857" width="21.375" style="79" customWidth="1"/>
    <col min="13858" max="13858" width="6.25" style="79" customWidth="1"/>
    <col min="13859" max="13859" width="6" style="79" customWidth="1"/>
    <col min="13860" max="13860" width="16" style="79" customWidth="1"/>
    <col min="13861" max="14073" width="9" style="79" customWidth="1"/>
    <col min="14074" max="14074" width="2.625" style="79" customWidth="1"/>
    <col min="14075" max="14075" width="9.125" style="79" customWidth="1"/>
    <col min="14076" max="14076" width="2.625" style="79" customWidth="1"/>
    <col min="14077" max="14077" width="12" style="79" bestFit="1" customWidth="1"/>
    <col min="14078" max="14078" width="6.625" style="79" customWidth="1"/>
    <col min="14079" max="14079" width="6.375" style="79" customWidth="1"/>
    <col min="14080" max="14083" width="7.25" style="79"/>
    <col min="14084" max="14084" width="2.875" style="79" customWidth="1"/>
    <col min="14085" max="14085" width="10.125" style="79" customWidth="1"/>
    <col min="14086" max="14086" width="6" style="79" customWidth="1"/>
    <col min="14087" max="14087" width="5.875" style="79" customWidth="1"/>
    <col min="14088" max="14088" width="3.5" style="79" customWidth="1"/>
    <col min="14089" max="14089" width="3.875" style="79" customWidth="1"/>
    <col min="14090" max="14090" width="6.125" style="79" customWidth="1"/>
    <col min="14091" max="14091" width="4.125" style="79" customWidth="1"/>
    <col min="14092" max="14093" width="6.25" style="79" customWidth="1"/>
    <col min="14094" max="14094" width="5.25" style="79" customWidth="1"/>
    <col min="14095" max="14095" width="6.5" style="79" customWidth="1"/>
    <col min="14096" max="14096" width="5.625" style="79" customWidth="1"/>
    <col min="14097" max="14097" width="5.125" style="79" customWidth="1"/>
    <col min="14098" max="14098" width="9" style="79" customWidth="1"/>
    <col min="14099" max="14099" width="12.75" style="79" customWidth="1"/>
    <col min="14100" max="14100" width="3.875" style="79" customWidth="1"/>
    <col min="14101" max="14101" width="5.875" style="79" customWidth="1"/>
    <col min="14102" max="14102" width="5.75" style="79" customWidth="1"/>
    <col min="14103" max="14103" width="4.375" style="79" customWidth="1"/>
    <col min="14104" max="14104" width="8.875" style="79" customWidth="1"/>
    <col min="14105" max="14105" width="8.125" style="79" customWidth="1"/>
    <col min="14106" max="14106" width="9.125" style="79" customWidth="1"/>
    <col min="14107" max="14107" width="0" style="79" hidden="1" customWidth="1"/>
    <col min="14108" max="14108" width="5.75" style="79" customWidth="1"/>
    <col min="14109" max="14109" width="3.625" style="79" customWidth="1"/>
    <col min="14110" max="14110" width="7.625" style="79" customWidth="1"/>
    <col min="14111" max="14111" width="9.375" style="79" customWidth="1"/>
    <col min="14112" max="14112" width="0" style="79" hidden="1" customWidth="1"/>
    <col min="14113" max="14113" width="21.375" style="79" customWidth="1"/>
    <col min="14114" max="14114" width="6.25" style="79" customWidth="1"/>
    <col min="14115" max="14115" width="6" style="79" customWidth="1"/>
    <col min="14116" max="14116" width="16" style="79" customWidth="1"/>
    <col min="14117" max="14329" width="9" style="79" customWidth="1"/>
    <col min="14330" max="14330" width="2.625" style="79" customWidth="1"/>
    <col min="14331" max="14331" width="9.125" style="79" customWidth="1"/>
    <col min="14332" max="14332" width="2.625" style="79" customWidth="1"/>
    <col min="14333" max="14333" width="12" style="79" bestFit="1" customWidth="1"/>
    <col min="14334" max="14334" width="6.625" style="79" customWidth="1"/>
    <col min="14335" max="14335" width="6.375" style="79" customWidth="1"/>
    <col min="14336" max="14339" width="7.25" style="79"/>
    <col min="14340" max="14340" width="2.875" style="79" customWidth="1"/>
    <col min="14341" max="14341" width="10.125" style="79" customWidth="1"/>
    <col min="14342" max="14342" width="6" style="79" customWidth="1"/>
    <col min="14343" max="14343" width="5.875" style="79" customWidth="1"/>
    <col min="14344" max="14344" width="3.5" style="79" customWidth="1"/>
    <col min="14345" max="14345" width="3.875" style="79" customWidth="1"/>
    <col min="14346" max="14346" width="6.125" style="79" customWidth="1"/>
    <col min="14347" max="14347" width="4.125" style="79" customWidth="1"/>
    <col min="14348" max="14349" width="6.25" style="79" customWidth="1"/>
    <col min="14350" max="14350" width="5.25" style="79" customWidth="1"/>
    <col min="14351" max="14351" width="6.5" style="79" customWidth="1"/>
    <col min="14352" max="14352" width="5.625" style="79" customWidth="1"/>
    <col min="14353" max="14353" width="5.125" style="79" customWidth="1"/>
    <col min="14354" max="14354" width="9" style="79" customWidth="1"/>
    <col min="14355" max="14355" width="12.75" style="79" customWidth="1"/>
    <col min="14356" max="14356" width="3.875" style="79" customWidth="1"/>
    <col min="14357" max="14357" width="5.875" style="79" customWidth="1"/>
    <col min="14358" max="14358" width="5.75" style="79" customWidth="1"/>
    <col min="14359" max="14359" width="4.375" style="79" customWidth="1"/>
    <col min="14360" max="14360" width="8.875" style="79" customWidth="1"/>
    <col min="14361" max="14361" width="8.125" style="79" customWidth="1"/>
    <col min="14362" max="14362" width="9.125" style="79" customWidth="1"/>
    <col min="14363" max="14363" width="0" style="79" hidden="1" customWidth="1"/>
    <col min="14364" max="14364" width="5.75" style="79" customWidth="1"/>
    <col min="14365" max="14365" width="3.625" style="79" customWidth="1"/>
    <col min="14366" max="14366" width="7.625" style="79" customWidth="1"/>
    <col min="14367" max="14367" width="9.375" style="79" customWidth="1"/>
    <col min="14368" max="14368" width="0" style="79" hidden="1" customWidth="1"/>
    <col min="14369" max="14369" width="21.375" style="79" customWidth="1"/>
    <col min="14370" max="14370" width="6.25" style="79" customWidth="1"/>
    <col min="14371" max="14371" width="6" style="79" customWidth="1"/>
    <col min="14372" max="14372" width="16" style="79" customWidth="1"/>
    <col min="14373" max="14585" width="9" style="79" customWidth="1"/>
    <col min="14586" max="14586" width="2.625" style="79" customWidth="1"/>
    <col min="14587" max="14587" width="9.125" style="79" customWidth="1"/>
    <col min="14588" max="14588" width="2.625" style="79" customWidth="1"/>
    <col min="14589" max="14589" width="12" style="79" bestFit="1" customWidth="1"/>
    <col min="14590" max="14590" width="6.625" style="79" customWidth="1"/>
    <col min="14591" max="14591" width="6.375" style="79" customWidth="1"/>
    <col min="14592" max="14595" width="7.25" style="79"/>
    <col min="14596" max="14596" width="2.875" style="79" customWidth="1"/>
    <col min="14597" max="14597" width="10.125" style="79" customWidth="1"/>
    <col min="14598" max="14598" width="6" style="79" customWidth="1"/>
    <col min="14599" max="14599" width="5.875" style="79" customWidth="1"/>
    <col min="14600" max="14600" width="3.5" style="79" customWidth="1"/>
    <col min="14601" max="14601" width="3.875" style="79" customWidth="1"/>
    <col min="14602" max="14602" width="6.125" style="79" customWidth="1"/>
    <col min="14603" max="14603" width="4.125" style="79" customWidth="1"/>
    <col min="14604" max="14605" width="6.25" style="79" customWidth="1"/>
    <col min="14606" max="14606" width="5.25" style="79" customWidth="1"/>
    <col min="14607" max="14607" width="6.5" style="79" customWidth="1"/>
    <col min="14608" max="14608" width="5.625" style="79" customWidth="1"/>
    <col min="14609" max="14609" width="5.125" style="79" customWidth="1"/>
    <col min="14610" max="14610" width="9" style="79" customWidth="1"/>
    <col min="14611" max="14611" width="12.75" style="79" customWidth="1"/>
    <col min="14612" max="14612" width="3.875" style="79" customWidth="1"/>
    <col min="14613" max="14613" width="5.875" style="79" customWidth="1"/>
    <col min="14614" max="14614" width="5.75" style="79" customWidth="1"/>
    <col min="14615" max="14615" width="4.375" style="79" customWidth="1"/>
    <col min="14616" max="14616" width="8.875" style="79" customWidth="1"/>
    <col min="14617" max="14617" width="8.125" style="79" customWidth="1"/>
    <col min="14618" max="14618" width="9.125" style="79" customWidth="1"/>
    <col min="14619" max="14619" width="0" style="79" hidden="1" customWidth="1"/>
    <col min="14620" max="14620" width="5.75" style="79" customWidth="1"/>
    <col min="14621" max="14621" width="3.625" style="79" customWidth="1"/>
    <col min="14622" max="14622" width="7.625" style="79" customWidth="1"/>
    <col min="14623" max="14623" width="9.375" style="79" customWidth="1"/>
    <col min="14624" max="14624" width="0" style="79" hidden="1" customWidth="1"/>
    <col min="14625" max="14625" width="21.375" style="79" customWidth="1"/>
    <col min="14626" max="14626" width="6.25" style="79" customWidth="1"/>
    <col min="14627" max="14627" width="6" style="79" customWidth="1"/>
    <col min="14628" max="14628" width="16" style="79" customWidth="1"/>
    <col min="14629" max="14841" width="9" style="79" customWidth="1"/>
    <col min="14842" max="14842" width="2.625" style="79" customWidth="1"/>
    <col min="14843" max="14843" width="9.125" style="79" customWidth="1"/>
    <col min="14844" max="14844" width="2.625" style="79" customWidth="1"/>
    <col min="14845" max="14845" width="12" style="79" bestFit="1" customWidth="1"/>
    <col min="14846" max="14846" width="6.625" style="79" customWidth="1"/>
    <col min="14847" max="14847" width="6.375" style="79" customWidth="1"/>
    <col min="14848" max="14851" width="7.25" style="79"/>
    <col min="14852" max="14852" width="2.875" style="79" customWidth="1"/>
    <col min="14853" max="14853" width="10.125" style="79" customWidth="1"/>
    <col min="14854" max="14854" width="6" style="79" customWidth="1"/>
    <col min="14855" max="14855" width="5.875" style="79" customWidth="1"/>
    <col min="14856" max="14856" width="3.5" style="79" customWidth="1"/>
    <col min="14857" max="14857" width="3.875" style="79" customWidth="1"/>
    <col min="14858" max="14858" width="6.125" style="79" customWidth="1"/>
    <col min="14859" max="14859" width="4.125" style="79" customWidth="1"/>
    <col min="14860" max="14861" width="6.25" style="79" customWidth="1"/>
    <col min="14862" max="14862" width="5.25" style="79" customWidth="1"/>
    <col min="14863" max="14863" width="6.5" style="79" customWidth="1"/>
    <col min="14864" max="14864" width="5.625" style="79" customWidth="1"/>
    <col min="14865" max="14865" width="5.125" style="79" customWidth="1"/>
    <col min="14866" max="14866" width="9" style="79" customWidth="1"/>
    <col min="14867" max="14867" width="12.75" style="79" customWidth="1"/>
    <col min="14868" max="14868" width="3.875" style="79" customWidth="1"/>
    <col min="14869" max="14869" width="5.875" style="79" customWidth="1"/>
    <col min="14870" max="14870" width="5.75" style="79" customWidth="1"/>
    <col min="14871" max="14871" width="4.375" style="79" customWidth="1"/>
    <col min="14872" max="14872" width="8.875" style="79" customWidth="1"/>
    <col min="14873" max="14873" width="8.125" style="79" customWidth="1"/>
    <col min="14874" max="14874" width="9.125" style="79" customWidth="1"/>
    <col min="14875" max="14875" width="0" style="79" hidden="1" customWidth="1"/>
    <col min="14876" max="14876" width="5.75" style="79" customWidth="1"/>
    <col min="14877" max="14877" width="3.625" style="79" customWidth="1"/>
    <col min="14878" max="14878" width="7.625" style="79" customWidth="1"/>
    <col min="14879" max="14879" width="9.375" style="79" customWidth="1"/>
    <col min="14880" max="14880" width="0" style="79" hidden="1" customWidth="1"/>
    <col min="14881" max="14881" width="21.375" style="79" customWidth="1"/>
    <col min="14882" max="14882" width="6.25" style="79" customWidth="1"/>
    <col min="14883" max="14883" width="6" style="79" customWidth="1"/>
    <col min="14884" max="14884" width="16" style="79" customWidth="1"/>
    <col min="14885" max="15097" width="9" style="79" customWidth="1"/>
    <col min="15098" max="15098" width="2.625" style="79" customWidth="1"/>
    <col min="15099" max="15099" width="9.125" style="79" customWidth="1"/>
    <col min="15100" max="15100" width="2.625" style="79" customWidth="1"/>
    <col min="15101" max="15101" width="12" style="79" bestFit="1" customWidth="1"/>
    <col min="15102" max="15102" width="6.625" style="79" customWidth="1"/>
    <col min="15103" max="15103" width="6.375" style="79" customWidth="1"/>
    <col min="15104" max="15107" width="7.25" style="79"/>
    <col min="15108" max="15108" width="2.875" style="79" customWidth="1"/>
    <col min="15109" max="15109" width="10.125" style="79" customWidth="1"/>
    <col min="15110" max="15110" width="6" style="79" customWidth="1"/>
    <col min="15111" max="15111" width="5.875" style="79" customWidth="1"/>
    <col min="15112" max="15112" width="3.5" style="79" customWidth="1"/>
    <col min="15113" max="15113" width="3.875" style="79" customWidth="1"/>
    <col min="15114" max="15114" width="6.125" style="79" customWidth="1"/>
    <col min="15115" max="15115" width="4.125" style="79" customWidth="1"/>
    <col min="15116" max="15117" width="6.25" style="79" customWidth="1"/>
    <col min="15118" max="15118" width="5.25" style="79" customWidth="1"/>
    <col min="15119" max="15119" width="6.5" style="79" customWidth="1"/>
    <col min="15120" max="15120" width="5.625" style="79" customWidth="1"/>
    <col min="15121" max="15121" width="5.125" style="79" customWidth="1"/>
    <col min="15122" max="15122" width="9" style="79" customWidth="1"/>
    <col min="15123" max="15123" width="12.75" style="79" customWidth="1"/>
    <col min="15124" max="15124" width="3.875" style="79" customWidth="1"/>
    <col min="15125" max="15125" width="5.875" style="79" customWidth="1"/>
    <col min="15126" max="15126" width="5.75" style="79" customWidth="1"/>
    <col min="15127" max="15127" width="4.375" style="79" customWidth="1"/>
    <col min="15128" max="15128" width="8.875" style="79" customWidth="1"/>
    <col min="15129" max="15129" width="8.125" style="79" customWidth="1"/>
    <col min="15130" max="15130" width="9.125" style="79" customWidth="1"/>
    <col min="15131" max="15131" width="0" style="79" hidden="1" customWidth="1"/>
    <col min="15132" max="15132" width="5.75" style="79" customWidth="1"/>
    <col min="15133" max="15133" width="3.625" style="79" customWidth="1"/>
    <col min="15134" max="15134" width="7.625" style="79" customWidth="1"/>
    <col min="15135" max="15135" width="9.375" style="79" customWidth="1"/>
    <col min="15136" max="15136" width="0" style="79" hidden="1" customWidth="1"/>
    <col min="15137" max="15137" width="21.375" style="79" customWidth="1"/>
    <col min="15138" max="15138" width="6.25" style="79" customWidth="1"/>
    <col min="15139" max="15139" width="6" style="79" customWidth="1"/>
    <col min="15140" max="15140" width="16" style="79" customWidth="1"/>
    <col min="15141" max="15353" width="9" style="79" customWidth="1"/>
    <col min="15354" max="15354" width="2.625" style="79" customWidth="1"/>
    <col min="15355" max="15355" width="9.125" style="79" customWidth="1"/>
    <col min="15356" max="15356" width="2.625" style="79" customWidth="1"/>
    <col min="15357" max="15357" width="12" style="79" bestFit="1" customWidth="1"/>
    <col min="15358" max="15358" width="6.625" style="79" customWidth="1"/>
    <col min="15359" max="15359" width="6.375" style="79" customWidth="1"/>
    <col min="15360" max="15363" width="7.25" style="79"/>
    <col min="15364" max="15364" width="2.875" style="79" customWidth="1"/>
    <col min="15365" max="15365" width="10.125" style="79" customWidth="1"/>
    <col min="15366" max="15366" width="6" style="79" customWidth="1"/>
    <col min="15367" max="15367" width="5.875" style="79" customWidth="1"/>
    <col min="15368" max="15368" width="3.5" style="79" customWidth="1"/>
    <col min="15369" max="15369" width="3.875" style="79" customWidth="1"/>
    <col min="15370" max="15370" width="6.125" style="79" customWidth="1"/>
    <col min="15371" max="15371" width="4.125" style="79" customWidth="1"/>
    <col min="15372" max="15373" width="6.25" style="79" customWidth="1"/>
    <col min="15374" max="15374" width="5.25" style="79" customWidth="1"/>
    <col min="15375" max="15375" width="6.5" style="79" customWidth="1"/>
    <col min="15376" max="15376" width="5.625" style="79" customWidth="1"/>
    <col min="15377" max="15377" width="5.125" style="79" customWidth="1"/>
    <col min="15378" max="15378" width="9" style="79" customWidth="1"/>
    <col min="15379" max="15379" width="12.75" style="79" customWidth="1"/>
    <col min="15380" max="15380" width="3.875" style="79" customWidth="1"/>
    <col min="15381" max="15381" width="5.875" style="79" customWidth="1"/>
    <col min="15382" max="15382" width="5.75" style="79" customWidth="1"/>
    <col min="15383" max="15383" width="4.375" style="79" customWidth="1"/>
    <col min="15384" max="15384" width="8.875" style="79" customWidth="1"/>
    <col min="15385" max="15385" width="8.125" style="79" customWidth="1"/>
    <col min="15386" max="15386" width="9.125" style="79" customWidth="1"/>
    <col min="15387" max="15387" width="0" style="79" hidden="1" customWidth="1"/>
    <col min="15388" max="15388" width="5.75" style="79" customWidth="1"/>
    <col min="15389" max="15389" width="3.625" style="79" customWidth="1"/>
    <col min="15390" max="15390" width="7.625" style="79" customWidth="1"/>
    <col min="15391" max="15391" width="9.375" style="79" customWidth="1"/>
    <col min="15392" max="15392" width="0" style="79" hidden="1" customWidth="1"/>
    <col min="15393" max="15393" width="21.375" style="79" customWidth="1"/>
    <col min="15394" max="15394" width="6.25" style="79" customWidth="1"/>
    <col min="15395" max="15395" width="6" style="79" customWidth="1"/>
    <col min="15396" max="15396" width="16" style="79" customWidth="1"/>
    <col min="15397" max="15609" width="9" style="79" customWidth="1"/>
    <col min="15610" max="15610" width="2.625" style="79" customWidth="1"/>
    <col min="15611" max="15611" width="9.125" style="79" customWidth="1"/>
    <col min="15612" max="15612" width="2.625" style="79" customWidth="1"/>
    <col min="15613" max="15613" width="12" style="79" bestFit="1" customWidth="1"/>
    <col min="15614" max="15614" width="6.625" style="79" customWidth="1"/>
    <col min="15615" max="15615" width="6.375" style="79" customWidth="1"/>
    <col min="15616" max="15619" width="7.25" style="79"/>
    <col min="15620" max="15620" width="2.875" style="79" customWidth="1"/>
    <col min="15621" max="15621" width="10.125" style="79" customWidth="1"/>
    <col min="15622" max="15622" width="6" style="79" customWidth="1"/>
    <col min="15623" max="15623" width="5.875" style="79" customWidth="1"/>
    <col min="15624" max="15624" width="3.5" style="79" customWidth="1"/>
    <col min="15625" max="15625" width="3.875" style="79" customWidth="1"/>
    <col min="15626" max="15626" width="6.125" style="79" customWidth="1"/>
    <col min="15627" max="15627" width="4.125" style="79" customWidth="1"/>
    <col min="15628" max="15629" width="6.25" style="79" customWidth="1"/>
    <col min="15630" max="15630" width="5.25" style="79" customWidth="1"/>
    <col min="15631" max="15631" width="6.5" style="79" customWidth="1"/>
    <col min="15632" max="15632" width="5.625" style="79" customWidth="1"/>
    <col min="15633" max="15633" width="5.125" style="79" customWidth="1"/>
    <col min="15634" max="15634" width="9" style="79" customWidth="1"/>
    <col min="15635" max="15635" width="12.75" style="79" customWidth="1"/>
    <col min="15636" max="15636" width="3.875" style="79" customWidth="1"/>
    <col min="15637" max="15637" width="5.875" style="79" customWidth="1"/>
    <col min="15638" max="15638" width="5.75" style="79" customWidth="1"/>
    <col min="15639" max="15639" width="4.375" style="79" customWidth="1"/>
    <col min="15640" max="15640" width="8.875" style="79" customWidth="1"/>
    <col min="15641" max="15641" width="8.125" style="79" customWidth="1"/>
    <col min="15642" max="15642" width="9.125" style="79" customWidth="1"/>
    <col min="15643" max="15643" width="0" style="79" hidden="1" customWidth="1"/>
    <col min="15644" max="15644" width="5.75" style="79" customWidth="1"/>
    <col min="15645" max="15645" width="3.625" style="79" customWidth="1"/>
    <col min="15646" max="15646" width="7.625" style="79" customWidth="1"/>
    <col min="15647" max="15647" width="9.375" style="79" customWidth="1"/>
    <col min="15648" max="15648" width="0" style="79" hidden="1" customWidth="1"/>
    <col min="15649" max="15649" width="21.375" style="79" customWidth="1"/>
    <col min="15650" max="15650" width="6.25" style="79" customWidth="1"/>
    <col min="15651" max="15651" width="6" style="79" customWidth="1"/>
    <col min="15652" max="15652" width="16" style="79" customWidth="1"/>
    <col min="15653" max="15865" width="9" style="79" customWidth="1"/>
    <col min="15866" max="15866" width="2.625" style="79" customWidth="1"/>
    <col min="15867" max="15867" width="9.125" style="79" customWidth="1"/>
    <col min="15868" max="15868" width="2.625" style="79" customWidth="1"/>
    <col min="15869" max="15869" width="12" style="79" bestFit="1" customWidth="1"/>
    <col min="15870" max="15870" width="6.625" style="79" customWidth="1"/>
    <col min="15871" max="15871" width="6.375" style="79" customWidth="1"/>
    <col min="15872" max="15875" width="7.25" style="79"/>
    <col min="15876" max="15876" width="2.875" style="79" customWidth="1"/>
    <col min="15877" max="15877" width="10.125" style="79" customWidth="1"/>
    <col min="15878" max="15878" width="6" style="79" customWidth="1"/>
    <col min="15879" max="15879" width="5.875" style="79" customWidth="1"/>
    <col min="15880" max="15880" width="3.5" style="79" customWidth="1"/>
    <col min="15881" max="15881" width="3.875" style="79" customWidth="1"/>
    <col min="15882" max="15882" width="6.125" style="79" customWidth="1"/>
    <col min="15883" max="15883" width="4.125" style="79" customWidth="1"/>
    <col min="15884" max="15885" width="6.25" style="79" customWidth="1"/>
    <col min="15886" max="15886" width="5.25" style="79" customWidth="1"/>
    <col min="15887" max="15887" width="6.5" style="79" customWidth="1"/>
    <col min="15888" max="15888" width="5.625" style="79" customWidth="1"/>
    <col min="15889" max="15889" width="5.125" style="79" customWidth="1"/>
    <col min="15890" max="15890" width="9" style="79" customWidth="1"/>
    <col min="15891" max="15891" width="12.75" style="79" customWidth="1"/>
    <col min="15892" max="15892" width="3.875" style="79" customWidth="1"/>
    <col min="15893" max="15893" width="5.875" style="79" customWidth="1"/>
    <col min="15894" max="15894" width="5.75" style="79" customWidth="1"/>
    <col min="15895" max="15895" width="4.375" style="79" customWidth="1"/>
    <col min="15896" max="15896" width="8.875" style="79" customWidth="1"/>
    <col min="15897" max="15897" width="8.125" style="79" customWidth="1"/>
    <col min="15898" max="15898" width="9.125" style="79" customWidth="1"/>
    <col min="15899" max="15899" width="0" style="79" hidden="1" customWidth="1"/>
    <col min="15900" max="15900" width="5.75" style="79" customWidth="1"/>
    <col min="15901" max="15901" width="3.625" style="79" customWidth="1"/>
    <col min="15902" max="15902" width="7.625" style="79" customWidth="1"/>
    <col min="15903" max="15903" width="9.375" style="79" customWidth="1"/>
    <col min="15904" max="15904" width="0" style="79" hidden="1" customWidth="1"/>
    <col min="15905" max="15905" width="21.375" style="79" customWidth="1"/>
    <col min="15906" max="15906" width="6.25" style="79" customWidth="1"/>
    <col min="15907" max="15907" width="6" style="79" customWidth="1"/>
    <col min="15908" max="15908" width="16" style="79" customWidth="1"/>
    <col min="15909" max="16121" width="9" style="79" customWidth="1"/>
    <col min="16122" max="16122" width="2.625" style="79" customWidth="1"/>
    <col min="16123" max="16123" width="9.125" style="79" customWidth="1"/>
    <col min="16124" max="16124" width="2.625" style="79" customWidth="1"/>
    <col min="16125" max="16125" width="12" style="79" bestFit="1" customWidth="1"/>
    <col min="16126" max="16126" width="6.625" style="79" customWidth="1"/>
    <col min="16127" max="16127" width="6.375" style="79" customWidth="1"/>
    <col min="16128" max="16131" width="7.25" style="79"/>
    <col min="16132" max="16132" width="2.875" style="79" customWidth="1"/>
    <col min="16133" max="16133" width="10.125" style="79" customWidth="1"/>
    <col min="16134" max="16134" width="6" style="79" customWidth="1"/>
    <col min="16135" max="16135" width="5.875" style="79" customWidth="1"/>
    <col min="16136" max="16136" width="3.5" style="79" customWidth="1"/>
    <col min="16137" max="16137" width="3.875" style="79" customWidth="1"/>
    <col min="16138" max="16138" width="6.125" style="79" customWidth="1"/>
    <col min="16139" max="16139" width="4.125" style="79" customWidth="1"/>
    <col min="16140" max="16141" width="6.25" style="79" customWidth="1"/>
    <col min="16142" max="16142" width="5.25" style="79" customWidth="1"/>
    <col min="16143" max="16143" width="6.5" style="79" customWidth="1"/>
    <col min="16144" max="16144" width="5.625" style="79" customWidth="1"/>
    <col min="16145" max="16145" width="5.125" style="79" customWidth="1"/>
    <col min="16146" max="16146" width="9" style="79" customWidth="1"/>
    <col min="16147" max="16147" width="12.75" style="79" customWidth="1"/>
    <col min="16148" max="16148" width="3.875" style="79" customWidth="1"/>
    <col min="16149" max="16149" width="5.875" style="79" customWidth="1"/>
    <col min="16150" max="16150" width="5.75" style="79" customWidth="1"/>
    <col min="16151" max="16151" width="4.375" style="79" customWidth="1"/>
    <col min="16152" max="16152" width="8.875" style="79" customWidth="1"/>
    <col min="16153" max="16153" width="8.125" style="79" customWidth="1"/>
    <col min="16154" max="16154" width="9.125" style="79" customWidth="1"/>
    <col min="16155" max="16155" width="0" style="79" hidden="1" customWidth="1"/>
    <col min="16156" max="16156" width="5.75" style="79" customWidth="1"/>
    <col min="16157" max="16157" width="3.625" style="79" customWidth="1"/>
    <col min="16158" max="16158" width="7.625" style="79" customWidth="1"/>
    <col min="16159" max="16159" width="9.375" style="79" customWidth="1"/>
    <col min="16160" max="16160" width="0" style="79" hidden="1" customWidth="1"/>
    <col min="16161" max="16161" width="21.375" style="79" customWidth="1"/>
    <col min="16162" max="16162" width="6.25" style="79" customWidth="1"/>
    <col min="16163" max="16163" width="6" style="79" customWidth="1"/>
    <col min="16164" max="16164" width="16" style="79" customWidth="1"/>
    <col min="16165" max="16384" width="9" style="79" customWidth="1"/>
  </cols>
  <sheetData>
    <row r="1" spans="1:249" ht="32.25" customHeight="1" x14ac:dyDescent="0.2">
      <c r="A1" s="508" t="s">
        <v>437</v>
      </c>
      <c r="B1" s="508"/>
      <c r="C1" s="508"/>
      <c r="D1" s="508"/>
      <c r="E1" s="508"/>
      <c r="F1" s="508"/>
      <c r="G1" s="508"/>
      <c r="H1" s="508"/>
      <c r="I1" s="508"/>
      <c r="J1" s="508"/>
      <c r="K1" s="508"/>
      <c r="L1" s="508"/>
      <c r="M1" s="508"/>
      <c r="N1" s="508"/>
      <c r="O1" s="508"/>
      <c r="P1" s="508"/>
      <c r="Q1" s="508"/>
      <c r="R1" s="508"/>
      <c r="S1" s="508"/>
      <c r="T1" s="508"/>
      <c r="U1" s="508"/>
      <c r="V1" s="508"/>
      <c r="W1" s="508"/>
      <c r="X1" s="508"/>
      <c r="Y1" s="508"/>
      <c r="Z1" s="508"/>
      <c r="AA1" s="508"/>
      <c r="AB1" s="508"/>
      <c r="AC1" s="508"/>
      <c r="AD1" s="508"/>
      <c r="AE1" s="508"/>
      <c r="AF1" s="508"/>
      <c r="AG1" s="508"/>
      <c r="AH1" s="75"/>
      <c r="AI1" s="76"/>
      <c r="AJ1" s="77"/>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c r="DV1" s="78"/>
      <c r="DW1" s="78"/>
      <c r="DX1" s="78"/>
      <c r="DY1" s="78"/>
      <c r="DZ1" s="78"/>
      <c r="EA1" s="78"/>
      <c r="EB1" s="78"/>
      <c r="EC1" s="78"/>
      <c r="ED1" s="78"/>
      <c r="EE1" s="78"/>
      <c r="EF1" s="78"/>
      <c r="EG1" s="78"/>
      <c r="EH1" s="78"/>
      <c r="EI1" s="78"/>
      <c r="EJ1" s="78"/>
      <c r="EK1" s="78"/>
      <c r="EL1" s="78"/>
      <c r="EM1" s="78"/>
      <c r="EN1" s="78"/>
      <c r="EO1" s="78"/>
      <c r="EP1" s="78"/>
      <c r="EQ1" s="78"/>
      <c r="ER1" s="78"/>
      <c r="ES1" s="78"/>
      <c r="ET1" s="78"/>
      <c r="EU1" s="78"/>
      <c r="EV1" s="78"/>
      <c r="EW1" s="78"/>
      <c r="EX1" s="78"/>
      <c r="EY1" s="78"/>
      <c r="EZ1" s="78"/>
      <c r="FA1" s="78"/>
      <c r="FB1" s="78"/>
      <c r="FC1" s="78"/>
      <c r="FD1" s="78"/>
      <c r="FE1" s="78"/>
      <c r="FF1" s="78"/>
      <c r="FG1" s="78"/>
      <c r="FH1" s="78"/>
      <c r="FI1" s="78"/>
      <c r="FJ1" s="78"/>
      <c r="FK1" s="78"/>
      <c r="FL1" s="78"/>
      <c r="FM1" s="78"/>
      <c r="FN1" s="78"/>
      <c r="FO1" s="78"/>
      <c r="FP1" s="78"/>
      <c r="FQ1" s="78"/>
      <c r="FR1" s="78"/>
      <c r="FS1" s="78"/>
      <c r="FT1" s="78"/>
      <c r="FU1" s="78"/>
      <c r="FV1" s="78"/>
      <c r="FW1" s="78"/>
      <c r="FX1" s="78"/>
      <c r="FY1" s="78"/>
      <c r="FZ1" s="78"/>
      <c r="GA1" s="78"/>
      <c r="GB1" s="78"/>
      <c r="GC1" s="78"/>
      <c r="GD1" s="78"/>
      <c r="GE1" s="78"/>
      <c r="GF1" s="78"/>
      <c r="GG1" s="78"/>
      <c r="GH1" s="78"/>
      <c r="GI1" s="78"/>
      <c r="GJ1" s="78"/>
      <c r="GK1" s="78"/>
      <c r="GL1" s="78"/>
      <c r="GM1" s="78"/>
      <c r="GN1" s="78"/>
      <c r="GO1" s="78"/>
      <c r="GP1" s="78"/>
      <c r="GQ1" s="78"/>
      <c r="GR1" s="78"/>
      <c r="GS1" s="78"/>
      <c r="GT1" s="78"/>
      <c r="GU1" s="78"/>
      <c r="GV1" s="78"/>
      <c r="GW1" s="78"/>
      <c r="GX1" s="78"/>
      <c r="GY1" s="78"/>
      <c r="GZ1" s="78"/>
      <c r="HA1" s="78"/>
      <c r="HB1" s="78"/>
      <c r="HC1" s="78"/>
      <c r="HD1" s="78"/>
      <c r="HE1" s="78"/>
      <c r="HF1" s="78"/>
      <c r="HG1" s="78"/>
      <c r="HH1" s="78"/>
      <c r="HI1" s="78"/>
      <c r="HJ1" s="78"/>
      <c r="HK1" s="78"/>
      <c r="HL1" s="78"/>
      <c r="HM1" s="78"/>
      <c r="HN1" s="78"/>
      <c r="HO1" s="78"/>
      <c r="HP1" s="78"/>
      <c r="HQ1" s="78"/>
      <c r="HR1" s="78"/>
      <c r="HS1" s="78"/>
      <c r="HT1" s="78"/>
      <c r="HU1" s="78"/>
      <c r="HV1" s="78"/>
      <c r="HW1" s="78"/>
      <c r="HX1" s="78"/>
      <c r="HY1" s="78"/>
      <c r="HZ1" s="78"/>
      <c r="IA1" s="78"/>
      <c r="IB1" s="78"/>
      <c r="IC1" s="78"/>
      <c r="ID1" s="78"/>
      <c r="IE1" s="78"/>
      <c r="IF1" s="78"/>
      <c r="IG1" s="78"/>
      <c r="IH1" s="78"/>
      <c r="II1" s="78"/>
      <c r="IJ1" s="78"/>
      <c r="IK1" s="78"/>
      <c r="IL1" s="78"/>
      <c r="IM1" s="78"/>
      <c r="IN1" s="78"/>
      <c r="IO1" s="78"/>
    </row>
    <row r="2" spans="1:249" ht="18" customHeight="1" x14ac:dyDescent="0.2">
      <c r="A2" s="508" t="s">
        <v>29</v>
      </c>
      <c r="B2" s="508"/>
      <c r="C2" s="508"/>
      <c r="D2" s="508"/>
      <c r="E2" s="508"/>
      <c r="F2" s="508"/>
      <c r="G2" s="508"/>
      <c r="H2" s="508"/>
      <c r="I2" s="508"/>
      <c r="J2" s="508"/>
      <c r="K2" s="508"/>
      <c r="L2" s="508"/>
      <c r="M2" s="508"/>
      <c r="N2" s="508"/>
      <c r="O2" s="508"/>
      <c r="P2" s="508"/>
      <c r="Q2" s="508"/>
      <c r="R2" s="508"/>
      <c r="S2" s="508"/>
      <c r="T2" s="508"/>
      <c r="U2" s="508"/>
      <c r="V2" s="508"/>
      <c r="W2" s="508"/>
      <c r="X2" s="508"/>
      <c r="Y2" s="508"/>
      <c r="Z2" s="508"/>
      <c r="AA2" s="508"/>
      <c r="AB2" s="508"/>
      <c r="AC2" s="508"/>
      <c r="AD2" s="508"/>
      <c r="AE2" s="508"/>
      <c r="AF2" s="508"/>
      <c r="AG2" s="508"/>
      <c r="AH2" s="75"/>
      <c r="AI2" s="76"/>
      <c r="AJ2" s="77"/>
      <c r="AK2" s="78"/>
      <c r="AL2" s="78"/>
      <c r="AM2" s="78"/>
      <c r="AN2" s="78"/>
      <c r="AO2" s="78"/>
      <c r="AP2" s="78"/>
      <c r="AQ2" s="78"/>
      <c r="AR2" s="78"/>
      <c r="AS2" s="78"/>
      <c r="AT2" s="78"/>
      <c r="AU2" s="78"/>
      <c r="AV2" s="78"/>
      <c r="AW2" s="78"/>
      <c r="AX2" s="78"/>
      <c r="AY2" s="78"/>
      <c r="AZ2" s="78"/>
      <c r="BA2" s="78"/>
      <c r="BB2" s="78"/>
      <c r="BC2" s="78"/>
      <c r="BD2" s="78"/>
      <c r="BE2" s="78"/>
      <c r="BF2" s="78"/>
      <c r="BG2" s="78"/>
      <c r="BH2" s="78"/>
      <c r="BI2" s="78"/>
      <c r="BJ2" s="78"/>
      <c r="BK2" s="78"/>
      <c r="BL2" s="78"/>
      <c r="BM2" s="78"/>
      <c r="BN2" s="78"/>
      <c r="BO2" s="78"/>
      <c r="BP2" s="78"/>
      <c r="BQ2" s="78"/>
      <c r="BR2" s="78"/>
      <c r="BS2" s="78"/>
      <c r="BT2" s="78"/>
      <c r="BU2" s="78"/>
      <c r="BV2" s="78"/>
      <c r="BW2" s="78"/>
      <c r="BX2" s="78"/>
      <c r="BY2" s="78"/>
      <c r="BZ2" s="78"/>
      <c r="CA2" s="78"/>
      <c r="CB2" s="78"/>
      <c r="CC2" s="78"/>
      <c r="CD2" s="78"/>
      <c r="CE2" s="78"/>
      <c r="CF2" s="78"/>
      <c r="CG2" s="78"/>
      <c r="CH2" s="78"/>
      <c r="CI2" s="78"/>
      <c r="CJ2" s="78"/>
      <c r="CK2" s="78"/>
      <c r="CL2" s="78"/>
      <c r="CM2" s="78"/>
      <c r="CN2" s="78"/>
      <c r="CO2" s="78"/>
      <c r="CP2" s="78"/>
      <c r="CQ2" s="78"/>
      <c r="CR2" s="78"/>
      <c r="CS2" s="78"/>
      <c r="CT2" s="78"/>
      <c r="CU2" s="78"/>
      <c r="CV2" s="78"/>
      <c r="CW2" s="78"/>
      <c r="CX2" s="78"/>
      <c r="CY2" s="78"/>
      <c r="CZ2" s="78"/>
      <c r="DA2" s="78"/>
      <c r="DB2" s="78"/>
      <c r="DC2" s="78"/>
      <c r="DD2" s="78"/>
      <c r="DE2" s="78"/>
      <c r="DF2" s="78"/>
      <c r="DG2" s="78"/>
      <c r="DH2" s="78"/>
      <c r="DI2" s="78"/>
      <c r="DJ2" s="78"/>
      <c r="DK2" s="78"/>
      <c r="DL2" s="78"/>
      <c r="DM2" s="78"/>
      <c r="DN2" s="78"/>
      <c r="DO2" s="78"/>
      <c r="DP2" s="78"/>
      <c r="DQ2" s="78"/>
      <c r="DR2" s="78"/>
      <c r="DS2" s="78"/>
      <c r="DT2" s="78"/>
      <c r="DU2" s="78"/>
      <c r="DV2" s="78"/>
      <c r="DW2" s="78"/>
      <c r="DX2" s="78"/>
      <c r="DY2" s="78"/>
      <c r="DZ2" s="78"/>
      <c r="EA2" s="78"/>
      <c r="EB2" s="78"/>
      <c r="EC2" s="78"/>
      <c r="ED2" s="78"/>
      <c r="EE2" s="78"/>
      <c r="EF2" s="78"/>
      <c r="EG2" s="78"/>
      <c r="EH2" s="78"/>
      <c r="EI2" s="78"/>
      <c r="EJ2" s="78"/>
      <c r="EK2" s="78"/>
      <c r="EL2" s="78"/>
      <c r="EM2" s="78"/>
      <c r="EN2" s="78"/>
      <c r="EO2" s="78"/>
      <c r="EP2" s="78"/>
      <c r="EQ2" s="78"/>
      <c r="ER2" s="78"/>
      <c r="ES2" s="78"/>
      <c r="ET2" s="78"/>
      <c r="EU2" s="78"/>
      <c r="EV2" s="78"/>
      <c r="EW2" s="78"/>
      <c r="EX2" s="78"/>
      <c r="EY2" s="78"/>
      <c r="EZ2" s="78"/>
      <c r="FA2" s="78"/>
      <c r="FB2" s="78"/>
      <c r="FC2" s="78"/>
      <c r="FD2" s="78"/>
      <c r="FE2" s="78"/>
      <c r="FF2" s="78"/>
      <c r="FG2" s="78"/>
      <c r="FH2" s="78"/>
      <c r="FI2" s="78"/>
      <c r="FJ2" s="78"/>
      <c r="FK2" s="78"/>
      <c r="FL2" s="78"/>
      <c r="FM2" s="78"/>
      <c r="FN2" s="78"/>
      <c r="FO2" s="78"/>
      <c r="FP2" s="78"/>
      <c r="FQ2" s="78"/>
      <c r="FR2" s="78"/>
      <c r="FS2" s="78"/>
      <c r="FT2" s="78"/>
      <c r="FU2" s="78"/>
      <c r="FV2" s="78"/>
      <c r="FW2" s="78"/>
      <c r="FX2" s="78"/>
      <c r="FY2" s="78"/>
      <c r="FZ2" s="78"/>
      <c r="GA2" s="78"/>
      <c r="GB2" s="78"/>
      <c r="GC2" s="78"/>
      <c r="GD2" s="78"/>
      <c r="GE2" s="78"/>
      <c r="GF2" s="78"/>
      <c r="GG2" s="78"/>
      <c r="GH2" s="78"/>
      <c r="GI2" s="78"/>
      <c r="GJ2" s="78"/>
      <c r="GK2" s="78"/>
      <c r="GL2" s="78"/>
      <c r="GM2" s="78"/>
      <c r="GN2" s="78"/>
      <c r="GO2" s="78"/>
      <c r="GP2" s="78"/>
      <c r="GQ2" s="78"/>
      <c r="GR2" s="78"/>
      <c r="GS2" s="78"/>
      <c r="GT2" s="78"/>
      <c r="GU2" s="78"/>
      <c r="GV2" s="78"/>
      <c r="GW2" s="78"/>
      <c r="GX2" s="78"/>
      <c r="GY2" s="78"/>
      <c r="GZ2" s="78"/>
      <c r="HA2" s="78"/>
      <c r="HB2" s="78"/>
      <c r="HC2" s="78"/>
      <c r="HD2" s="78"/>
      <c r="HE2" s="78"/>
      <c r="HF2" s="78"/>
      <c r="HG2" s="78"/>
      <c r="HH2" s="78"/>
      <c r="HI2" s="78"/>
      <c r="HJ2" s="78"/>
      <c r="HK2" s="78"/>
      <c r="HL2" s="78"/>
      <c r="HM2" s="78"/>
      <c r="HN2" s="78"/>
      <c r="HO2" s="78"/>
      <c r="HP2" s="78"/>
      <c r="HQ2" s="78"/>
      <c r="HR2" s="78"/>
      <c r="HS2" s="78"/>
      <c r="HT2" s="78"/>
      <c r="HU2" s="78"/>
      <c r="HV2" s="78"/>
      <c r="HW2" s="78"/>
      <c r="HX2" s="78"/>
      <c r="HY2" s="78"/>
      <c r="HZ2" s="78"/>
      <c r="IA2" s="78"/>
      <c r="IB2" s="78"/>
      <c r="IC2" s="78"/>
      <c r="ID2" s="78"/>
      <c r="IE2" s="78"/>
      <c r="IF2" s="78"/>
      <c r="IG2" s="78"/>
      <c r="IH2" s="78"/>
      <c r="II2" s="78"/>
      <c r="IJ2" s="78"/>
      <c r="IK2" s="78"/>
      <c r="IL2" s="78"/>
      <c r="IM2" s="78"/>
      <c r="IN2" s="78"/>
      <c r="IO2" s="78"/>
    </row>
    <row r="3" spans="1:249" s="83" customFormat="1" ht="15" customHeight="1" x14ac:dyDescent="0.3">
      <c r="A3" s="584" t="s">
        <v>438</v>
      </c>
      <c r="B3" s="584"/>
      <c r="C3" s="584"/>
      <c r="D3" s="584"/>
      <c r="E3" s="584"/>
      <c r="F3" s="584"/>
      <c r="G3" s="584"/>
      <c r="H3" s="584"/>
      <c r="I3" s="584"/>
      <c r="J3" s="584"/>
      <c r="K3" s="584"/>
      <c r="L3" s="584"/>
      <c r="M3" s="584"/>
      <c r="N3" s="584"/>
      <c r="O3" s="584"/>
      <c r="P3" s="584"/>
      <c r="Q3" s="584"/>
      <c r="R3" s="584"/>
      <c r="S3" s="584"/>
      <c r="T3" s="584"/>
      <c r="U3" s="584"/>
      <c r="V3" s="584"/>
      <c r="W3" s="584"/>
      <c r="X3" s="584"/>
      <c r="Y3" s="584"/>
      <c r="Z3" s="584"/>
      <c r="AA3" s="584"/>
      <c r="AB3" s="584"/>
      <c r="AC3" s="584"/>
      <c r="AD3" s="584"/>
      <c r="AE3" s="584"/>
      <c r="AF3" s="584"/>
      <c r="AG3" s="584"/>
      <c r="AH3" s="80"/>
      <c r="AI3" s="81"/>
      <c r="AJ3" s="80"/>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c r="DR3" s="82"/>
      <c r="DS3" s="82"/>
      <c r="DT3" s="82"/>
      <c r="DU3" s="82"/>
      <c r="DV3" s="82"/>
      <c r="DW3" s="82"/>
      <c r="DX3" s="82"/>
      <c r="DY3" s="82"/>
      <c r="DZ3" s="82"/>
      <c r="EA3" s="82"/>
      <c r="EB3" s="82"/>
      <c r="EC3" s="82"/>
      <c r="ED3" s="82"/>
      <c r="EE3" s="82"/>
      <c r="EF3" s="82"/>
      <c r="EG3" s="82"/>
      <c r="EH3" s="82"/>
      <c r="EI3" s="82"/>
      <c r="EJ3" s="82"/>
      <c r="EK3" s="82"/>
      <c r="EL3" s="82"/>
      <c r="EM3" s="82"/>
      <c r="EN3" s="82"/>
      <c r="EO3" s="82"/>
      <c r="EP3" s="82"/>
      <c r="EQ3" s="82"/>
      <c r="ER3" s="82"/>
      <c r="ES3" s="82"/>
      <c r="ET3" s="82"/>
      <c r="EU3" s="82"/>
      <c r="EV3" s="82"/>
      <c r="EW3" s="82"/>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2"/>
      <c r="HX3" s="82"/>
      <c r="HY3" s="82"/>
      <c r="HZ3" s="82"/>
      <c r="IA3" s="82"/>
      <c r="IB3" s="82"/>
      <c r="IC3" s="82"/>
      <c r="ID3" s="82"/>
      <c r="IE3" s="82"/>
      <c r="IF3" s="82"/>
      <c r="IG3" s="82"/>
      <c r="IH3" s="82"/>
      <c r="II3" s="82"/>
      <c r="IJ3" s="82"/>
      <c r="IK3" s="82"/>
      <c r="IL3" s="82"/>
      <c r="IM3" s="82"/>
      <c r="IN3" s="82"/>
      <c r="IO3" s="82"/>
    </row>
    <row r="4" spans="1:249" s="86" customFormat="1" ht="31.5" customHeight="1" x14ac:dyDescent="0.2">
      <c r="A4" s="474" t="s">
        <v>15</v>
      </c>
      <c r="B4" s="475" t="s">
        <v>1</v>
      </c>
      <c r="C4" s="478" t="s">
        <v>74</v>
      </c>
      <c r="D4" s="479"/>
      <c r="E4" s="479"/>
      <c r="F4" s="480"/>
      <c r="G4" s="481" t="s">
        <v>3</v>
      </c>
      <c r="H4" s="481"/>
      <c r="I4" s="481"/>
      <c r="J4" s="481"/>
      <c r="K4" s="478" t="s">
        <v>69</v>
      </c>
      <c r="L4" s="479"/>
      <c r="M4" s="479"/>
      <c r="N4" s="479"/>
      <c r="O4" s="479"/>
      <c r="P4" s="479"/>
      <c r="Q4" s="479"/>
      <c r="R4" s="480"/>
      <c r="S4" s="481" t="s">
        <v>28</v>
      </c>
      <c r="T4" s="481" t="s">
        <v>75</v>
      </c>
      <c r="U4" s="481"/>
      <c r="V4" s="481" t="s">
        <v>76</v>
      </c>
      <c r="W4" s="481"/>
      <c r="X4" s="481"/>
      <c r="Y4" s="481"/>
      <c r="Z4" s="481"/>
      <c r="AA4" s="481"/>
      <c r="AB4" s="481" t="s">
        <v>77</v>
      </c>
      <c r="AC4" s="496" t="s">
        <v>81</v>
      </c>
      <c r="AD4" s="475" t="s">
        <v>301</v>
      </c>
      <c r="AE4" s="481" t="s">
        <v>83</v>
      </c>
      <c r="AF4" s="481" t="s">
        <v>65</v>
      </c>
      <c r="AG4" s="496" t="s">
        <v>4</v>
      </c>
      <c r="AH4" s="580"/>
      <c r="AI4" s="583"/>
      <c r="AJ4" s="84"/>
      <c r="AK4" s="85"/>
      <c r="AL4" s="85"/>
      <c r="AM4" s="85"/>
      <c r="AN4" s="85"/>
      <c r="AO4" s="85"/>
      <c r="AP4" s="85"/>
      <c r="AQ4" s="85"/>
      <c r="AR4" s="85"/>
      <c r="AS4" s="85"/>
      <c r="AT4" s="85"/>
      <c r="AU4" s="85"/>
      <c r="AV4" s="85"/>
      <c r="AW4" s="85"/>
      <c r="AX4" s="85"/>
      <c r="AY4" s="85"/>
      <c r="AZ4" s="85"/>
      <c r="BA4" s="85"/>
      <c r="BB4" s="85"/>
      <c r="BC4" s="85"/>
      <c r="BD4" s="85"/>
      <c r="BE4" s="85"/>
      <c r="BF4" s="85"/>
      <c r="BG4" s="85"/>
      <c r="BH4" s="85"/>
      <c r="BI4" s="85"/>
      <c r="BJ4" s="85"/>
      <c r="BK4" s="85"/>
      <c r="BL4" s="85"/>
      <c r="BM4" s="85"/>
      <c r="BN4" s="85"/>
      <c r="BO4" s="85"/>
      <c r="BP4" s="85"/>
      <c r="BQ4" s="85"/>
      <c r="BR4" s="85"/>
      <c r="BS4" s="85"/>
      <c r="BT4" s="85"/>
      <c r="BU4" s="85"/>
      <c r="BV4" s="85"/>
      <c r="BW4" s="85"/>
      <c r="BX4" s="85"/>
      <c r="BY4" s="85"/>
      <c r="BZ4" s="85"/>
      <c r="CA4" s="85"/>
      <c r="CB4" s="85"/>
      <c r="CC4" s="85"/>
      <c r="CD4" s="85"/>
      <c r="CE4" s="85"/>
      <c r="CF4" s="85"/>
      <c r="CG4" s="85"/>
      <c r="CH4" s="85"/>
      <c r="CI4" s="85"/>
      <c r="CJ4" s="85"/>
      <c r="CK4" s="85"/>
      <c r="CL4" s="85"/>
      <c r="CM4" s="85"/>
      <c r="CN4" s="85"/>
      <c r="CO4" s="85"/>
      <c r="CP4" s="85"/>
      <c r="CQ4" s="85"/>
      <c r="CR4" s="85"/>
      <c r="CS4" s="85"/>
      <c r="CT4" s="85"/>
      <c r="CU4" s="85"/>
      <c r="CV4" s="85"/>
      <c r="CW4" s="85"/>
      <c r="CX4" s="85"/>
      <c r="CY4" s="85"/>
      <c r="CZ4" s="85"/>
      <c r="DA4" s="85"/>
      <c r="DB4" s="85"/>
      <c r="DC4" s="85"/>
      <c r="DD4" s="85"/>
      <c r="DE4" s="85"/>
      <c r="DF4" s="85"/>
      <c r="DG4" s="85"/>
      <c r="DH4" s="85"/>
      <c r="DI4" s="85"/>
      <c r="DJ4" s="85"/>
      <c r="DK4" s="85"/>
      <c r="DL4" s="85"/>
      <c r="DM4" s="85"/>
      <c r="DN4" s="85"/>
      <c r="DO4" s="85"/>
      <c r="DP4" s="85"/>
      <c r="DQ4" s="85"/>
      <c r="DR4" s="85"/>
      <c r="DS4" s="85"/>
      <c r="DT4" s="85"/>
      <c r="DU4" s="85"/>
      <c r="DV4" s="85"/>
      <c r="DW4" s="85"/>
      <c r="DX4" s="85"/>
      <c r="DY4" s="85"/>
      <c r="DZ4" s="85"/>
      <c r="EA4" s="85"/>
      <c r="EB4" s="85"/>
      <c r="EC4" s="85"/>
      <c r="ED4" s="85"/>
      <c r="EE4" s="85"/>
      <c r="EF4" s="85"/>
      <c r="EG4" s="85"/>
      <c r="EH4" s="85"/>
      <c r="EI4" s="85"/>
      <c r="EJ4" s="85"/>
      <c r="EK4" s="85"/>
      <c r="EL4" s="85"/>
      <c r="EM4" s="85"/>
      <c r="EN4" s="85"/>
      <c r="EO4" s="85"/>
      <c r="EP4" s="85"/>
      <c r="EQ4" s="85"/>
      <c r="ER4" s="85"/>
      <c r="ES4" s="85"/>
      <c r="ET4" s="85"/>
      <c r="EU4" s="85"/>
      <c r="EV4" s="85"/>
      <c r="EW4" s="85"/>
      <c r="EX4" s="85"/>
      <c r="EY4" s="85"/>
      <c r="EZ4" s="85"/>
      <c r="FA4" s="85"/>
      <c r="FB4" s="85"/>
      <c r="FC4" s="85"/>
      <c r="FD4" s="85"/>
      <c r="FE4" s="85"/>
      <c r="FF4" s="85"/>
      <c r="FG4" s="85"/>
      <c r="FH4" s="85"/>
      <c r="FI4" s="85"/>
      <c r="FJ4" s="85"/>
      <c r="FK4" s="85"/>
      <c r="FL4" s="85"/>
      <c r="FM4" s="85"/>
      <c r="FN4" s="85"/>
      <c r="FO4" s="85"/>
      <c r="FP4" s="85"/>
      <c r="FQ4" s="85"/>
      <c r="FR4" s="85"/>
      <c r="FS4" s="85"/>
      <c r="FT4" s="85"/>
      <c r="FU4" s="85"/>
      <c r="FV4" s="85"/>
      <c r="FW4" s="85"/>
      <c r="FX4" s="85"/>
      <c r="FY4" s="85"/>
      <c r="FZ4" s="85"/>
      <c r="GA4" s="85"/>
      <c r="GB4" s="85"/>
      <c r="GC4" s="85"/>
      <c r="GD4" s="85"/>
      <c r="GE4" s="85"/>
      <c r="GF4" s="85"/>
      <c r="GG4" s="85"/>
      <c r="GH4" s="85"/>
      <c r="GI4" s="85"/>
      <c r="GJ4" s="85"/>
      <c r="GK4" s="85"/>
      <c r="GL4" s="85"/>
      <c r="GM4" s="85"/>
      <c r="GN4" s="85"/>
      <c r="GO4" s="85"/>
      <c r="GP4" s="85"/>
      <c r="GQ4" s="85"/>
      <c r="GR4" s="85"/>
      <c r="GS4" s="85"/>
      <c r="GT4" s="85"/>
      <c r="GU4" s="85"/>
      <c r="GV4" s="85"/>
      <c r="GW4" s="85"/>
      <c r="GX4" s="85"/>
      <c r="GY4" s="85"/>
      <c r="GZ4" s="85"/>
      <c r="HA4" s="85"/>
      <c r="HB4" s="85"/>
      <c r="HC4" s="85"/>
      <c r="HD4" s="85"/>
      <c r="HE4" s="85"/>
      <c r="HF4" s="85"/>
      <c r="HG4" s="85"/>
      <c r="HH4" s="85"/>
      <c r="HI4" s="85"/>
      <c r="HJ4" s="85"/>
      <c r="HK4" s="85"/>
      <c r="HL4" s="85"/>
      <c r="HM4" s="85"/>
      <c r="HN4" s="85"/>
      <c r="HO4" s="85"/>
      <c r="HP4" s="85"/>
      <c r="HQ4" s="85"/>
      <c r="HR4" s="85"/>
      <c r="HS4" s="85"/>
      <c r="HT4" s="85"/>
      <c r="HU4" s="85"/>
      <c r="HV4" s="85"/>
      <c r="HW4" s="85"/>
      <c r="HX4" s="85"/>
      <c r="HY4" s="85"/>
      <c r="HZ4" s="85"/>
      <c r="IA4" s="85"/>
      <c r="IB4" s="85"/>
      <c r="IC4" s="85"/>
      <c r="ID4" s="85"/>
      <c r="IE4" s="85"/>
      <c r="IF4" s="85"/>
      <c r="IG4" s="85"/>
      <c r="IH4" s="85"/>
      <c r="II4" s="85"/>
      <c r="IJ4" s="85"/>
      <c r="IK4" s="85"/>
      <c r="IL4" s="85"/>
      <c r="IM4" s="85"/>
      <c r="IN4" s="85"/>
      <c r="IO4" s="85"/>
    </row>
    <row r="5" spans="1:249" s="86" customFormat="1" ht="16.5" customHeight="1" x14ac:dyDescent="0.2">
      <c r="A5" s="474"/>
      <c r="B5" s="476"/>
      <c r="C5" s="487" t="s">
        <v>5</v>
      </c>
      <c r="D5" s="487" t="s">
        <v>16</v>
      </c>
      <c r="E5" s="487" t="s">
        <v>13</v>
      </c>
      <c r="F5" s="487" t="s">
        <v>2</v>
      </c>
      <c r="G5" s="487" t="s">
        <v>5</v>
      </c>
      <c r="H5" s="487" t="s">
        <v>16</v>
      </c>
      <c r="I5" s="487" t="s">
        <v>13</v>
      </c>
      <c r="J5" s="487" t="s">
        <v>6</v>
      </c>
      <c r="K5" s="482" t="s">
        <v>30</v>
      </c>
      <c r="L5" s="483"/>
      <c r="M5" s="484"/>
      <c r="N5" s="482" t="s">
        <v>31</v>
      </c>
      <c r="O5" s="483"/>
      <c r="P5" s="484"/>
      <c r="Q5" s="485" t="s">
        <v>17</v>
      </c>
      <c r="R5" s="485" t="s">
        <v>70</v>
      </c>
      <c r="S5" s="481"/>
      <c r="T5" s="487" t="s">
        <v>18</v>
      </c>
      <c r="U5" s="487" t="s">
        <v>19</v>
      </c>
      <c r="V5" s="493" t="s">
        <v>20</v>
      </c>
      <c r="W5" s="493" t="s">
        <v>21</v>
      </c>
      <c r="X5" s="493" t="s">
        <v>22</v>
      </c>
      <c r="Y5" s="487" t="s">
        <v>18</v>
      </c>
      <c r="Z5" s="487" t="s">
        <v>23</v>
      </c>
      <c r="AA5" s="487" t="s">
        <v>19</v>
      </c>
      <c r="AB5" s="481"/>
      <c r="AC5" s="497"/>
      <c r="AD5" s="476"/>
      <c r="AE5" s="481"/>
      <c r="AF5" s="481"/>
      <c r="AG5" s="497"/>
      <c r="AH5" s="581"/>
      <c r="AI5" s="583"/>
      <c r="AJ5" s="84"/>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c r="BM5" s="85"/>
      <c r="BN5" s="85"/>
      <c r="BO5" s="85"/>
      <c r="BP5" s="85"/>
      <c r="BQ5" s="85"/>
      <c r="BR5" s="85"/>
      <c r="BS5" s="85"/>
      <c r="BT5" s="85"/>
      <c r="BU5" s="85"/>
      <c r="BV5" s="85"/>
      <c r="BW5" s="85"/>
      <c r="BX5" s="85"/>
      <c r="BY5" s="85"/>
      <c r="BZ5" s="85"/>
      <c r="CA5" s="85"/>
      <c r="CB5" s="85"/>
      <c r="CC5" s="85"/>
      <c r="CD5" s="85"/>
      <c r="CE5" s="85"/>
      <c r="CF5" s="85"/>
      <c r="CG5" s="85"/>
      <c r="CH5" s="85"/>
      <c r="CI5" s="85"/>
      <c r="CJ5" s="85"/>
      <c r="CK5" s="85"/>
      <c r="CL5" s="85"/>
      <c r="CM5" s="85"/>
      <c r="CN5" s="85"/>
      <c r="CO5" s="85"/>
      <c r="CP5" s="85"/>
      <c r="CQ5" s="85"/>
      <c r="CR5" s="85"/>
      <c r="CS5" s="85"/>
      <c r="CT5" s="85"/>
      <c r="CU5" s="85"/>
      <c r="CV5" s="85"/>
      <c r="CW5" s="85"/>
      <c r="CX5" s="85"/>
      <c r="CY5" s="85"/>
      <c r="CZ5" s="85"/>
      <c r="DA5" s="85"/>
      <c r="DB5" s="85"/>
      <c r="DC5" s="85"/>
      <c r="DD5" s="85"/>
      <c r="DE5" s="85"/>
      <c r="DF5" s="85"/>
      <c r="DG5" s="85"/>
      <c r="DH5" s="85"/>
      <c r="DI5" s="85"/>
      <c r="DJ5" s="85"/>
      <c r="DK5" s="85"/>
      <c r="DL5" s="85"/>
      <c r="DM5" s="85"/>
      <c r="DN5" s="85"/>
      <c r="DO5" s="85"/>
      <c r="DP5" s="85"/>
      <c r="DQ5" s="85"/>
      <c r="DR5" s="85"/>
      <c r="DS5" s="85"/>
      <c r="DT5" s="85"/>
      <c r="DU5" s="85"/>
      <c r="DV5" s="85"/>
      <c r="DW5" s="85"/>
      <c r="DX5" s="85"/>
      <c r="DY5" s="85"/>
      <c r="DZ5" s="85"/>
      <c r="EA5" s="85"/>
      <c r="EB5" s="85"/>
      <c r="EC5" s="85"/>
      <c r="ED5" s="85"/>
      <c r="EE5" s="85"/>
      <c r="EF5" s="85"/>
      <c r="EG5" s="85"/>
      <c r="EH5" s="85"/>
      <c r="EI5" s="85"/>
      <c r="EJ5" s="85"/>
      <c r="EK5" s="85"/>
      <c r="EL5" s="85"/>
      <c r="EM5" s="85"/>
      <c r="EN5" s="85"/>
      <c r="EO5" s="85"/>
      <c r="EP5" s="85"/>
      <c r="EQ5" s="85"/>
      <c r="ER5" s="85"/>
      <c r="ES5" s="85"/>
      <c r="ET5" s="85"/>
      <c r="EU5" s="85"/>
      <c r="EV5" s="85"/>
      <c r="EW5" s="85"/>
      <c r="EX5" s="85"/>
      <c r="EY5" s="85"/>
      <c r="EZ5" s="85"/>
      <c r="FA5" s="85"/>
      <c r="FB5" s="85"/>
      <c r="FC5" s="85"/>
      <c r="FD5" s="85"/>
      <c r="FE5" s="85"/>
      <c r="FF5" s="85"/>
      <c r="FG5" s="85"/>
      <c r="FH5" s="85"/>
      <c r="FI5" s="85"/>
      <c r="FJ5" s="85"/>
      <c r="FK5" s="85"/>
      <c r="FL5" s="85"/>
      <c r="FM5" s="85"/>
      <c r="FN5" s="85"/>
      <c r="FO5" s="85"/>
      <c r="FP5" s="85"/>
      <c r="FQ5" s="85"/>
      <c r="FR5" s="85"/>
      <c r="FS5" s="85"/>
      <c r="FT5" s="85"/>
      <c r="FU5" s="85"/>
      <c r="FV5" s="85"/>
      <c r="FW5" s="85"/>
      <c r="FX5" s="85"/>
      <c r="FY5" s="85"/>
      <c r="FZ5" s="85"/>
      <c r="GA5" s="85"/>
      <c r="GB5" s="85"/>
      <c r="GC5" s="85"/>
      <c r="GD5" s="85"/>
      <c r="GE5" s="85"/>
      <c r="GF5" s="85"/>
      <c r="GG5" s="85"/>
      <c r="GH5" s="85"/>
      <c r="GI5" s="85"/>
      <c r="GJ5" s="85"/>
      <c r="GK5" s="85"/>
      <c r="GL5" s="85"/>
      <c r="GM5" s="85"/>
      <c r="GN5" s="85"/>
      <c r="GO5" s="85"/>
      <c r="GP5" s="85"/>
      <c r="GQ5" s="85"/>
      <c r="GR5" s="85"/>
      <c r="GS5" s="85"/>
      <c r="GT5" s="85"/>
      <c r="GU5" s="85"/>
      <c r="GV5" s="85"/>
      <c r="GW5" s="85"/>
      <c r="GX5" s="85"/>
      <c r="GY5" s="85"/>
      <c r="GZ5" s="85"/>
      <c r="HA5" s="85"/>
      <c r="HB5" s="85"/>
      <c r="HC5" s="85"/>
      <c r="HD5" s="85"/>
      <c r="HE5" s="85"/>
      <c r="HF5" s="85"/>
      <c r="HG5" s="85"/>
      <c r="HH5" s="85"/>
      <c r="HI5" s="85"/>
      <c r="HJ5" s="85"/>
      <c r="HK5" s="85"/>
      <c r="HL5" s="85"/>
      <c r="HM5" s="85"/>
      <c r="HN5" s="85"/>
      <c r="HO5" s="85"/>
      <c r="HP5" s="85"/>
      <c r="HQ5" s="85"/>
      <c r="HR5" s="85"/>
      <c r="HS5" s="85"/>
      <c r="HT5" s="85"/>
      <c r="HU5" s="85"/>
      <c r="HV5" s="85"/>
      <c r="HW5" s="85"/>
      <c r="HX5" s="85"/>
      <c r="HY5" s="85"/>
      <c r="HZ5" s="85"/>
      <c r="IA5" s="85"/>
      <c r="IB5" s="85"/>
      <c r="IC5" s="85"/>
      <c r="ID5" s="85"/>
      <c r="IE5" s="85"/>
      <c r="IF5" s="85"/>
      <c r="IG5" s="85"/>
      <c r="IH5" s="85"/>
      <c r="II5" s="85"/>
      <c r="IJ5" s="85"/>
      <c r="IK5" s="85"/>
      <c r="IL5" s="85"/>
      <c r="IM5" s="85"/>
      <c r="IN5" s="85"/>
      <c r="IO5" s="85"/>
    </row>
    <row r="6" spans="1:249" s="86" customFormat="1" ht="114.75" customHeight="1" x14ac:dyDescent="0.2">
      <c r="A6" s="474"/>
      <c r="B6" s="477"/>
      <c r="C6" s="487"/>
      <c r="D6" s="487"/>
      <c r="E6" s="487"/>
      <c r="F6" s="487"/>
      <c r="G6" s="487"/>
      <c r="H6" s="487"/>
      <c r="I6" s="487"/>
      <c r="J6" s="487"/>
      <c r="K6" s="45" t="s">
        <v>68</v>
      </c>
      <c r="L6" s="87" t="s">
        <v>66</v>
      </c>
      <c r="M6" s="45" t="s">
        <v>67</v>
      </c>
      <c r="N6" s="45" t="s">
        <v>68</v>
      </c>
      <c r="O6" s="87" t="s">
        <v>66</v>
      </c>
      <c r="P6" s="45" t="s">
        <v>67</v>
      </c>
      <c r="Q6" s="486"/>
      <c r="R6" s="486"/>
      <c r="S6" s="481"/>
      <c r="T6" s="487"/>
      <c r="U6" s="487"/>
      <c r="V6" s="493"/>
      <c r="W6" s="493"/>
      <c r="X6" s="493"/>
      <c r="Y6" s="487"/>
      <c r="Z6" s="487"/>
      <c r="AA6" s="487"/>
      <c r="AB6" s="481"/>
      <c r="AC6" s="498"/>
      <c r="AD6" s="477"/>
      <c r="AE6" s="481"/>
      <c r="AF6" s="481"/>
      <c r="AG6" s="498"/>
      <c r="AH6" s="582"/>
      <c r="AI6" s="583"/>
      <c r="AJ6" s="84"/>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c r="BM6" s="85"/>
      <c r="BN6" s="85"/>
      <c r="BO6" s="85"/>
      <c r="BP6" s="85"/>
      <c r="BQ6" s="85"/>
      <c r="BR6" s="85"/>
      <c r="BS6" s="85"/>
      <c r="BT6" s="85"/>
      <c r="BU6" s="85"/>
      <c r="BV6" s="85"/>
      <c r="BW6" s="85"/>
      <c r="BX6" s="85"/>
      <c r="BY6" s="85"/>
      <c r="BZ6" s="85"/>
      <c r="CA6" s="85"/>
      <c r="CB6" s="85"/>
      <c r="CC6" s="85"/>
      <c r="CD6" s="85"/>
      <c r="CE6" s="85"/>
      <c r="CF6" s="85"/>
      <c r="CG6" s="85"/>
      <c r="CH6" s="85"/>
      <c r="CI6" s="85"/>
      <c r="CJ6" s="85"/>
      <c r="CK6" s="85"/>
      <c r="CL6" s="85"/>
      <c r="CM6" s="85"/>
      <c r="CN6" s="85"/>
      <c r="CO6" s="85"/>
      <c r="CP6" s="85"/>
      <c r="CQ6" s="85"/>
      <c r="CR6" s="85"/>
      <c r="CS6" s="85"/>
      <c r="CT6" s="85"/>
      <c r="CU6" s="85"/>
      <c r="CV6" s="85"/>
      <c r="CW6" s="85"/>
      <c r="CX6" s="85"/>
      <c r="CY6" s="85"/>
      <c r="CZ6" s="85"/>
      <c r="DA6" s="85"/>
      <c r="DB6" s="85"/>
      <c r="DC6" s="85"/>
      <c r="DD6" s="85"/>
      <c r="DE6" s="85"/>
      <c r="DF6" s="85"/>
      <c r="DG6" s="85"/>
      <c r="DH6" s="85"/>
      <c r="DI6" s="85"/>
      <c r="DJ6" s="85"/>
      <c r="DK6" s="85"/>
      <c r="DL6" s="85"/>
      <c r="DM6" s="85"/>
      <c r="DN6" s="85"/>
      <c r="DO6" s="85"/>
      <c r="DP6" s="85"/>
      <c r="DQ6" s="85"/>
      <c r="DR6" s="85"/>
      <c r="DS6" s="85"/>
      <c r="DT6" s="85"/>
      <c r="DU6" s="85"/>
      <c r="DV6" s="85"/>
      <c r="DW6" s="85"/>
      <c r="DX6" s="85"/>
      <c r="DY6" s="85"/>
      <c r="DZ6" s="85"/>
      <c r="EA6" s="85"/>
      <c r="EB6" s="85"/>
      <c r="EC6" s="85"/>
      <c r="ED6" s="85"/>
      <c r="EE6" s="85"/>
      <c r="EF6" s="85"/>
      <c r="EG6" s="85"/>
      <c r="EH6" s="85"/>
      <c r="EI6" s="85"/>
      <c r="EJ6" s="85"/>
      <c r="EK6" s="85"/>
      <c r="EL6" s="85"/>
      <c r="EM6" s="85"/>
      <c r="EN6" s="85"/>
      <c r="EO6" s="85"/>
      <c r="EP6" s="85"/>
      <c r="EQ6" s="85"/>
      <c r="ER6" s="85"/>
      <c r="ES6" s="85"/>
      <c r="ET6" s="85"/>
      <c r="EU6" s="85"/>
      <c r="EV6" s="85"/>
      <c r="EW6" s="85"/>
      <c r="EX6" s="85"/>
      <c r="EY6" s="85"/>
      <c r="EZ6" s="85"/>
      <c r="FA6" s="85"/>
      <c r="FB6" s="85"/>
      <c r="FC6" s="85"/>
      <c r="FD6" s="85"/>
      <c r="FE6" s="85"/>
      <c r="FF6" s="85"/>
      <c r="FG6" s="85"/>
      <c r="FH6" s="85"/>
      <c r="FI6" s="85"/>
      <c r="FJ6" s="85"/>
      <c r="FK6" s="85"/>
      <c r="FL6" s="85"/>
      <c r="FM6" s="85"/>
      <c r="FN6" s="85"/>
      <c r="FO6" s="85"/>
      <c r="FP6" s="85"/>
      <c r="FQ6" s="85"/>
      <c r="FR6" s="85"/>
      <c r="FS6" s="85"/>
      <c r="FT6" s="85"/>
      <c r="FU6" s="85"/>
      <c r="FV6" s="85"/>
      <c r="FW6" s="85"/>
      <c r="FX6" s="85"/>
      <c r="FY6" s="85"/>
      <c r="FZ6" s="85"/>
      <c r="GA6" s="85"/>
      <c r="GB6" s="85"/>
      <c r="GC6" s="85"/>
      <c r="GD6" s="85"/>
      <c r="GE6" s="85"/>
      <c r="GF6" s="85"/>
      <c r="GG6" s="85"/>
      <c r="GH6" s="85"/>
      <c r="GI6" s="85"/>
      <c r="GJ6" s="85"/>
      <c r="GK6" s="85"/>
      <c r="GL6" s="85"/>
      <c r="GM6" s="85"/>
      <c r="GN6" s="85"/>
      <c r="GO6" s="85"/>
      <c r="GP6" s="85"/>
      <c r="GQ6" s="85"/>
      <c r="GR6" s="85"/>
      <c r="GS6" s="85"/>
      <c r="GT6" s="85"/>
      <c r="GU6" s="85"/>
      <c r="GV6" s="85"/>
      <c r="GW6" s="85"/>
      <c r="GX6" s="85"/>
      <c r="GY6" s="85"/>
      <c r="GZ6" s="85"/>
      <c r="HA6" s="85"/>
      <c r="HB6" s="85"/>
      <c r="HC6" s="85"/>
      <c r="HD6" s="85"/>
      <c r="HE6" s="85"/>
      <c r="HF6" s="85"/>
      <c r="HG6" s="85"/>
      <c r="HH6" s="85"/>
      <c r="HI6" s="85"/>
      <c r="HJ6" s="85"/>
      <c r="HK6" s="85"/>
      <c r="HL6" s="85"/>
      <c r="HM6" s="85"/>
      <c r="HN6" s="85"/>
      <c r="HO6" s="85"/>
      <c r="HP6" s="85"/>
      <c r="HQ6" s="85"/>
      <c r="HR6" s="85"/>
      <c r="HS6" s="85"/>
      <c r="HT6" s="85"/>
      <c r="HU6" s="85"/>
      <c r="HV6" s="85"/>
      <c r="HW6" s="85"/>
      <c r="HX6" s="85"/>
      <c r="HY6" s="85"/>
      <c r="HZ6" s="85"/>
      <c r="IA6" s="85"/>
      <c r="IB6" s="85"/>
      <c r="IC6" s="85"/>
      <c r="ID6" s="85"/>
      <c r="IE6" s="85"/>
      <c r="IF6" s="85"/>
      <c r="IG6" s="85"/>
      <c r="IH6" s="85"/>
      <c r="II6" s="85"/>
      <c r="IJ6" s="85"/>
      <c r="IK6" s="85"/>
      <c r="IL6" s="85"/>
      <c r="IM6" s="85"/>
      <c r="IN6" s="85"/>
      <c r="IO6" s="85"/>
    </row>
    <row r="7" spans="1:249" s="93" customFormat="1" ht="29.25" customHeight="1" x14ac:dyDescent="0.25">
      <c r="A7" s="46">
        <v>1</v>
      </c>
      <c r="B7" s="88">
        <v>2</v>
      </c>
      <c r="C7" s="46">
        <v>3</v>
      </c>
      <c r="D7" s="46">
        <v>4</v>
      </c>
      <c r="E7" s="46">
        <v>5</v>
      </c>
      <c r="F7" s="46">
        <v>6</v>
      </c>
      <c r="G7" s="46">
        <v>7</v>
      </c>
      <c r="H7" s="46">
        <v>8</v>
      </c>
      <c r="I7" s="46">
        <v>9</v>
      </c>
      <c r="J7" s="230">
        <v>10</v>
      </c>
      <c r="K7" s="46">
        <v>11</v>
      </c>
      <c r="L7" s="46">
        <v>12</v>
      </c>
      <c r="M7" s="46">
        <v>13</v>
      </c>
      <c r="N7" s="46">
        <v>14</v>
      </c>
      <c r="O7" s="46">
        <v>15</v>
      </c>
      <c r="P7" s="46">
        <v>16</v>
      </c>
      <c r="Q7" s="68" t="s">
        <v>63</v>
      </c>
      <c r="R7" s="46">
        <v>18</v>
      </c>
      <c r="S7" s="46">
        <v>19</v>
      </c>
      <c r="T7" s="46">
        <v>20</v>
      </c>
      <c r="U7" s="46" t="s">
        <v>71</v>
      </c>
      <c r="V7" s="52">
        <v>22</v>
      </c>
      <c r="W7" s="52">
        <v>23</v>
      </c>
      <c r="X7" s="52">
        <v>24</v>
      </c>
      <c r="Y7" s="46">
        <v>25</v>
      </c>
      <c r="Z7" s="46">
        <v>26</v>
      </c>
      <c r="AA7" s="46" t="s">
        <v>72</v>
      </c>
      <c r="AB7" s="46" t="s">
        <v>82</v>
      </c>
      <c r="AC7" s="46" t="s">
        <v>73</v>
      </c>
      <c r="AD7" s="46" t="s">
        <v>312</v>
      </c>
      <c r="AE7" s="46" t="s">
        <v>80</v>
      </c>
      <c r="AF7" s="46">
        <v>32</v>
      </c>
      <c r="AG7" s="46">
        <v>33</v>
      </c>
      <c r="AH7" s="89"/>
      <c r="AI7" s="90"/>
      <c r="AJ7" s="91"/>
      <c r="AK7" s="92"/>
      <c r="AL7" s="92"/>
      <c r="AM7" s="92"/>
      <c r="AN7" s="92"/>
      <c r="AO7" s="92"/>
      <c r="AP7" s="92"/>
      <c r="AQ7" s="92"/>
      <c r="AR7" s="92"/>
      <c r="AS7" s="92"/>
      <c r="AT7" s="92"/>
      <c r="AU7" s="92"/>
      <c r="AV7" s="92"/>
      <c r="AW7" s="92"/>
      <c r="AX7" s="92"/>
      <c r="AY7" s="92"/>
      <c r="AZ7" s="92"/>
      <c r="BA7" s="92"/>
      <c r="BB7" s="92"/>
      <c r="BC7" s="92"/>
      <c r="BD7" s="92"/>
      <c r="BE7" s="92"/>
      <c r="BF7" s="92"/>
      <c r="BG7" s="92"/>
      <c r="BH7" s="92"/>
      <c r="BI7" s="92"/>
      <c r="BJ7" s="92"/>
      <c r="BK7" s="92"/>
      <c r="BL7" s="92"/>
      <c r="BM7" s="92"/>
      <c r="BN7" s="92"/>
      <c r="BO7" s="92"/>
      <c r="BP7" s="92"/>
      <c r="BQ7" s="92"/>
      <c r="BR7" s="92"/>
      <c r="BS7" s="92"/>
      <c r="BT7" s="92"/>
      <c r="BU7" s="92"/>
      <c r="BV7" s="92"/>
      <c r="BW7" s="92"/>
      <c r="BX7" s="92"/>
      <c r="BY7" s="92"/>
      <c r="BZ7" s="92"/>
      <c r="CA7" s="92"/>
      <c r="CB7" s="92"/>
      <c r="CC7" s="92"/>
      <c r="CD7" s="92"/>
      <c r="CE7" s="92"/>
      <c r="CF7" s="92"/>
      <c r="CG7" s="92"/>
      <c r="CH7" s="92"/>
      <c r="CI7" s="92"/>
      <c r="CJ7" s="92"/>
      <c r="CK7" s="92"/>
      <c r="CL7" s="92"/>
      <c r="CM7" s="92"/>
      <c r="CN7" s="92"/>
      <c r="CO7" s="92"/>
      <c r="CP7" s="92"/>
      <c r="CQ7" s="92"/>
      <c r="CR7" s="92"/>
      <c r="CS7" s="92"/>
      <c r="CT7" s="92"/>
      <c r="CU7" s="92"/>
      <c r="CV7" s="92"/>
      <c r="CW7" s="92"/>
      <c r="CX7" s="92"/>
      <c r="CY7" s="92"/>
      <c r="CZ7" s="92"/>
      <c r="DA7" s="92"/>
      <c r="DB7" s="92"/>
      <c r="DC7" s="92"/>
      <c r="DD7" s="92"/>
      <c r="DE7" s="92"/>
      <c r="DF7" s="92"/>
      <c r="DG7" s="92"/>
      <c r="DH7" s="92"/>
      <c r="DI7" s="92"/>
      <c r="DJ7" s="92"/>
      <c r="DK7" s="92"/>
      <c r="DL7" s="92"/>
      <c r="DM7" s="92"/>
      <c r="DN7" s="92"/>
      <c r="DO7" s="92"/>
      <c r="DP7" s="92"/>
      <c r="DQ7" s="92"/>
      <c r="DR7" s="92"/>
      <c r="DS7" s="92"/>
      <c r="DT7" s="92"/>
      <c r="DU7" s="92"/>
      <c r="DV7" s="92"/>
      <c r="DW7" s="92"/>
      <c r="DX7" s="92"/>
      <c r="DY7" s="92"/>
      <c r="DZ7" s="92"/>
      <c r="EA7" s="92"/>
      <c r="EB7" s="92"/>
      <c r="EC7" s="92"/>
      <c r="ED7" s="92"/>
      <c r="EE7" s="92"/>
      <c r="EF7" s="92"/>
      <c r="EG7" s="92"/>
      <c r="EH7" s="92"/>
      <c r="EI7" s="92"/>
      <c r="EJ7" s="92"/>
      <c r="EK7" s="92"/>
      <c r="EL7" s="92"/>
      <c r="EM7" s="92"/>
      <c r="EN7" s="92"/>
      <c r="EO7" s="92"/>
      <c r="EP7" s="92"/>
      <c r="EQ7" s="92"/>
      <c r="ER7" s="92"/>
      <c r="ES7" s="92"/>
      <c r="ET7" s="92"/>
      <c r="EU7" s="92"/>
      <c r="EV7" s="92"/>
      <c r="EW7" s="92"/>
      <c r="EX7" s="92"/>
      <c r="EY7" s="92"/>
      <c r="EZ7" s="92"/>
      <c r="FA7" s="92"/>
      <c r="FB7" s="92"/>
      <c r="FC7" s="92"/>
      <c r="FD7" s="92"/>
      <c r="FE7" s="92"/>
      <c r="FF7" s="92"/>
      <c r="FG7" s="92"/>
      <c r="FH7" s="92"/>
      <c r="FI7" s="92"/>
      <c r="FJ7" s="92"/>
      <c r="FK7" s="92"/>
      <c r="FL7" s="92"/>
      <c r="FM7" s="92"/>
      <c r="FN7" s="92"/>
      <c r="FO7" s="92"/>
      <c r="FP7" s="92"/>
      <c r="FQ7" s="92"/>
      <c r="FR7" s="92"/>
      <c r="FS7" s="92"/>
      <c r="FT7" s="92"/>
      <c r="FU7" s="92"/>
      <c r="FV7" s="92"/>
      <c r="FW7" s="92"/>
      <c r="FX7" s="92"/>
      <c r="FY7" s="92"/>
      <c r="FZ7" s="92"/>
      <c r="GA7" s="92"/>
      <c r="GB7" s="92"/>
      <c r="GC7" s="92"/>
      <c r="GD7" s="92"/>
      <c r="GE7" s="92"/>
      <c r="GF7" s="92"/>
      <c r="GG7" s="92"/>
      <c r="GH7" s="92"/>
      <c r="GI7" s="92"/>
      <c r="GJ7" s="92"/>
      <c r="GK7" s="92"/>
      <c r="GL7" s="92"/>
      <c r="GM7" s="92"/>
      <c r="GN7" s="92"/>
      <c r="GO7" s="92"/>
      <c r="GP7" s="92"/>
      <c r="GQ7" s="92"/>
      <c r="GR7" s="92"/>
      <c r="GS7" s="92"/>
      <c r="GT7" s="92"/>
      <c r="GU7" s="92"/>
      <c r="GV7" s="92"/>
      <c r="GW7" s="92"/>
      <c r="GX7" s="92"/>
      <c r="GY7" s="92"/>
      <c r="GZ7" s="92"/>
      <c r="HA7" s="92"/>
      <c r="HB7" s="92"/>
      <c r="HC7" s="92"/>
      <c r="HD7" s="92"/>
      <c r="HE7" s="92"/>
      <c r="HF7" s="92"/>
      <c r="HG7" s="92"/>
      <c r="HH7" s="92"/>
      <c r="HI7" s="92"/>
      <c r="HJ7" s="92"/>
      <c r="HK7" s="92"/>
      <c r="HL7" s="92"/>
      <c r="HM7" s="92"/>
      <c r="HN7" s="92"/>
      <c r="HO7" s="92"/>
      <c r="HP7" s="92"/>
      <c r="HQ7" s="92"/>
      <c r="HR7" s="92"/>
      <c r="HS7" s="92"/>
      <c r="HT7" s="92"/>
      <c r="HU7" s="92"/>
      <c r="HV7" s="92"/>
      <c r="HW7" s="92"/>
      <c r="HX7" s="92"/>
      <c r="HY7" s="92"/>
      <c r="HZ7" s="92"/>
      <c r="IA7" s="92"/>
      <c r="IB7" s="92"/>
      <c r="IC7" s="92"/>
      <c r="ID7" s="92"/>
      <c r="IE7" s="92"/>
      <c r="IF7" s="92"/>
      <c r="IG7" s="92"/>
      <c r="IH7" s="92"/>
      <c r="II7" s="92"/>
      <c r="IJ7" s="92"/>
      <c r="IK7" s="92"/>
      <c r="IL7" s="92"/>
      <c r="IM7" s="92"/>
      <c r="IN7" s="92"/>
      <c r="IO7" s="92"/>
    </row>
    <row r="8" spans="1:249" s="2" customFormat="1" ht="23.25" customHeight="1" x14ac:dyDescent="0.25">
      <c r="A8" s="94">
        <v>1</v>
      </c>
      <c r="B8" s="95" t="s">
        <v>88</v>
      </c>
      <c r="C8" s="500">
        <v>5</v>
      </c>
      <c r="D8" s="500">
        <v>98</v>
      </c>
      <c r="E8" s="501">
        <v>840</v>
      </c>
      <c r="F8" s="502" t="s">
        <v>201</v>
      </c>
      <c r="G8" s="210">
        <v>28</v>
      </c>
      <c r="H8" s="210">
        <v>684</v>
      </c>
      <c r="I8" s="211">
        <v>477.6</v>
      </c>
      <c r="J8" s="212" t="s">
        <v>7</v>
      </c>
      <c r="K8" s="48">
        <f>840-I9</f>
        <v>433.9</v>
      </c>
      <c r="L8" s="48">
        <f>I8+I9-840</f>
        <v>43.700000000000045</v>
      </c>
      <c r="M8" s="48"/>
      <c r="N8" s="49"/>
      <c r="O8" s="49"/>
      <c r="P8" s="49"/>
      <c r="Q8" s="50">
        <f t="shared" ref="Q8:Q85" si="0">K8+L8+M8+N8+O8+P8</f>
        <v>477.6</v>
      </c>
      <c r="R8" s="55" t="str">
        <f t="shared" ref="R8:R86" si="1">J8</f>
        <v>LUC</v>
      </c>
      <c r="S8" s="182"/>
      <c r="T8" s="40">
        <v>80000</v>
      </c>
      <c r="U8" s="40">
        <f t="shared" ref="U8:U42" si="2">(K8+L8+N8+O8)*T8</f>
        <v>38208000</v>
      </c>
      <c r="V8" s="158" t="s">
        <v>64</v>
      </c>
      <c r="W8" s="241" t="s">
        <v>24</v>
      </c>
      <c r="X8" s="242">
        <f t="shared" ref="X8:X9" si="3">Q8</f>
        <v>477.6</v>
      </c>
      <c r="Y8" s="41">
        <v>9000</v>
      </c>
      <c r="Z8" s="42">
        <v>1</v>
      </c>
      <c r="AA8" s="40">
        <f t="shared" ref="AA8:AA84" si="4">X8*Y8*Z8</f>
        <v>4298400</v>
      </c>
      <c r="AB8" s="40">
        <f>(K8+L8+N8+O8)*T8*5</f>
        <v>191040000</v>
      </c>
      <c r="AC8" s="40">
        <f t="shared" ref="AC8:AC88" si="5">(K8+L8+N8+O8)*15000</f>
        <v>7164000</v>
      </c>
      <c r="AD8" s="40">
        <f>(M8+P8)*T8*100%</f>
        <v>0</v>
      </c>
      <c r="AE8" s="56">
        <f>U8+AA8+AB8+AC8+AD8</f>
        <v>240710400</v>
      </c>
      <c r="AF8" s="504">
        <f>AE8+AE9</f>
        <v>416505600</v>
      </c>
      <c r="AG8" s="44"/>
      <c r="AH8" s="43"/>
      <c r="AI8" s="3"/>
      <c r="AJ8" s="4"/>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row>
    <row r="9" spans="1:249" s="2" customFormat="1" ht="69" customHeight="1" x14ac:dyDescent="0.25">
      <c r="A9" s="94">
        <v>1</v>
      </c>
      <c r="B9" s="95" t="s">
        <v>88</v>
      </c>
      <c r="C9" s="500"/>
      <c r="D9" s="500"/>
      <c r="E9" s="501"/>
      <c r="F9" s="503"/>
      <c r="G9" s="210">
        <v>28</v>
      </c>
      <c r="H9" s="210">
        <v>718</v>
      </c>
      <c r="I9" s="211">
        <v>406.1</v>
      </c>
      <c r="J9" s="212" t="s">
        <v>7</v>
      </c>
      <c r="K9" s="48">
        <f>406.1-57.3</f>
        <v>348.8</v>
      </c>
      <c r="L9" s="48"/>
      <c r="M9" s="48"/>
      <c r="N9" s="49"/>
      <c r="O9" s="49"/>
      <c r="P9" s="49"/>
      <c r="Q9" s="50">
        <f t="shared" si="0"/>
        <v>348.8</v>
      </c>
      <c r="R9" s="55" t="str">
        <f t="shared" si="1"/>
        <v>LUC</v>
      </c>
      <c r="S9" s="182">
        <v>57.3</v>
      </c>
      <c r="T9" s="40">
        <v>80000</v>
      </c>
      <c r="U9" s="40">
        <f t="shared" si="2"/>
        <v>27904000</v>
      </c>
      <c r="V9" s="158" t="s">
        <v>64</v>
      </c>
      <c r="W9" s="241" t="s">
        <v>24</v>
      </c>
      <c r="X9" s="242">
        <f t="shared" si="3"/>
        <v>348.8</v>
      </c>
      <c r="Y9" s="41">
        <v>9000</v>
      </c>
      <c r="Z9" s="42">
        <v>1</v>
      </c>
      <c r="AA9" s="40">
        <f t="shared" si="4"/>
        <v>3139200</v>
      </c>
      <c r="AB9" s="40">
        <f t="shared" ref="AB9:AB83" si="6">(K9+L9+N9+O9)*T9*5</f>
        <v>139520000</v>
      </c>
      <c r="AC9" s="40">
        <f t="shared" si="5"/>
        <v>5232000</v>
      </c>
      <c r="AD9" s="40">
        <f t="shared" ref="AD9:AD73" si="7">(M9+P9)*T9*100%</f>
        <v>0</v>
      </c>
      <c r="AE9" s="56">
        <f t="shared" ref="AE9:AE83" si="8">U9+AA9+AB9+AC9+AD9</f>
        <v>175795200</v>
      </c>
      <c r="AF9" s="504"/>
      <c r="AG9" s="44" t="s">
        <v>195</v>
      </c>
      <c r="AH9" s="43"/>
      <c r="AI9" s="3"/>
      <c r="AJ9" s="4"/>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row>
    <row r="10" spans="1:249" s="2" customFormat="1" ht="27" customHeight="1" x14ac:dyDescent="0.25">
      <c r="A10" s="94">
        <v>2</v>
      </c>
      <c r="B10" s="156" t="s">
        <v>196</v>
      </c>
      <c r="C10" s="98">
        <v>5</v>
      </c>
      <c r="D10" s="98">
        <v>38</v>
      </c>
      <c r="E10" s="157">
        <v>720</v>
      </c>
      <c r="F10" s="98" t="s">
        <v>33</v>
      </c>
      <c r="G10" s="210">
        <v>29</v>
      </c>
      <c r="H10" s="210">
        <v>18</v>
      </c>
      <c r="I10" s="211">
        <v>816</v>
      </c>
      <c r="J10" s="213" t="s">
        <v>7</v>
      </c>
      <c r="K10" s="48">
        <v>720</v>
      </c>
      <c r="L10" s="48">
        <f>I10-K10</f>
        <v>96</v>
      </c>
      <c r="M10" s="48"/>
      <c r="N10" s="49"/>
      <c r="O10" s="49"/>
      <c r="P10" s="49"/>
      <c r="Q10" s="50">
        <f t="shared" si="0"/>
        <v>816</v>
      </c>
      <c r="R10" s="55" t="str">
        <f t="shared" si="1"/>
        <v>LUC</v>
      </c>
      <c r="S10" s="182"/>
      <c r="T10" s="40">
        <v>80000</v>
      </c>
      <c r="U10" s="40">
        <f t="shared" si="2"/>
        <v>65280000</v>
      </c>
      <c r="V10" s="158" t="s">
        <v>64</v>
      </c>
      <c r="W10" s="241" t="s">
        <v>24</v>
      </c>
      <c r="X10" s="242">
        <f>Q10</f>
        <v>816</v>
      </c>
      <c r="Y10" s="41">
        <v>9000</v>
      </c>
      <c r="Z10" s="42">
        <v>1</v>
      </c>
      <c r="AA10" s="40">
        <f t="shared" si="4"/>
        <v>7344000</v>
      </c>
      <c r="AB10" s="40">
        <f t="shared" si="6"/>
        <v>326400000</v>
      </c>
      <c r="AC10" s="40">
        <f t="shared" si="5"/>
        <v>12240000</v>
      </c>
      <c r="AD10" s="40">
        <f t="shared" si="7"/>
        <v>0</v>
      </c>
      <c r="AE10" s="56">
        <f t="shared" si="8"/>
        <v>411264000</v>
      </c>
      <c r="AF10" s="504">
        <f>SUM(AE10:AE18)</f>
        <v>915850600</v>
      </c>
      <c r="AG10" s="6"/>
      <c r="AH10" s="43"/>
      <c r="AI10" s="3"/>
      <c r="AJ10" s="4"/>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row>
    <row r="11" spans="1:249" s="2" customFormat="1" ht="24" x14ac:dyDescent="0.25">
      <c r="A11" s="94">
        <v>2</v>
      </c>
      <c r="B11" s="156" t="s">
        <v>196</v>
      </c>
      <c r="C11" s="251">
        <v>5</v>
      </c>
      <c r="D11" s="251">
        <v>77</v>
      </c>
      <c r="E11" s="231">
        <v>120</v>
      </c>
      <c r="F11" s="214" t="s">
        <v>33</v>
      </c>
      <c r="G11" s="210">
        <v>28</v>
      </c>
      <c r="H11" s="210">
        <v>461</v>
      </c>
      <c r="I11" s="211">
        <v>146.80000000000001</v>
      </c>
      <c r="J11" s="213" t="s">
        <v>7</v>
      </c>
      <c r="K11" s="48">
        <v>120</v>
      </c>
      <c r="L11" s="48">
        <f t="shared" ref="L11:L16" si="9">I11-K11</f>
        <v>26.800000000000011</v>
      </c>
      <c r="M11" s="48"/>
      <c r="N11" s="49"/>
      <c r="O11" s="49"/>
      <c r="P11" s="49"/>
      <c r="Q11" s="50">
        <f t="shared" si="0"/>
        <v>146.80000000000001</v>
      </c>
      <c r="R11" s="55" t="str">
        <f t="shared" si="1"/>
        <v>LUC</v>
      </c>
      <c r="S11" s="183"/>
      <c r="T11" s="40">
        <v>80000</v>
      </c>
      <c r="U11" s="40">
        <f t="shared" si="2"/>
        <v>11744000</v>
      </c>
      <c r="V11" s="158" t="s">
        <v>64</v>
      </c>
      <c r="W11" s="241" t="s">
        <v>24</v>
      </c>
      <c r="X11" s="242">
        <f t="shared" ref="X11:X13" si="10">Q11</f>
        <v>146.80000000000001</v>
      </c>
      <c r="Y11" s="41">
        <v>9000</v>
      </c>
      <c r="Z11" s="42">
        <v>1</v>
      </c>
      <c r="AA11" s="40">
        <f t="shared" si="4"/>
        <v>1321200</v>
      </c>
      <c r="AB11" s="40">
        <f t="shared" si="6"/>
        <v>58720000</v>
      </c>
      <c r="AC11" s="40">
        <f t="shared" si="5"/>
        <v>2202000</v>
      </c>
      <c r="AD11" s="40">
        <f t="shared" si="7"/>
        <v>0</v>
      </c>
      <c r="AE11" s="56">
        <f t="shared" si="8"/>
        <v>73987200</v>
      </c>
      <c r="AF11" s="504"/>
      <c r="AG11" s="69"/>
      <c r="AH11" s="43"/>
      <c r="AI11" s="3"/>
      <c r="AJ11" s="4"/>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row>
    <row r="12" spans="1:249" s="2" customFormat="1" ht="24" x14ac:dyDescent="0.25">
      <c r="A12" s="94">
        <v>2</v>
      </c>
      <c r="B12" s="156" t="s">
        <v>196</v>
      </c>
      <c r="C12" s="251">
        <v>5</v>
      </c>
      <c r="D12" s="251">
        <v>64</v>
      </c>
      <c r="E12" s="231">
        <v>288</v>
      </c>
      <c r="F12" s="214" t="s">
        <v>33</v>
      </c>
      <c r="G12" s="210">
        <v>28</v>
      </c>
      <c r="H12" s="210">
        <v>783</v>
      </c>
      <c r="I12" s="211">
        <v>377.9</v>
      </c>
      <c r="J12" s="213" t="s">
        <v>7</v>
      </c>
      <c r="K12" s="48">
        <v>288</v>
      </c>
      <c r="L12" s="48">
        <f t="shared" si="9"/>
        <v>89.899999999999977</v>
      </c>
      <c r="M12" s="48"/>
      <c r="N12" s="49"/>
      <c r="O12" s="49"/>
      <c r="P12" s="49"/>
      <c r="Q12" s="50">
        <f t="shared" si="0"/>
        <v>377.9</v>
      </c>
      <c r="R12" s="55" t="str">
        <f t="shared" si="1"/>
        <v>LUC</v>
      </c>
      <c r="S12" s="183"/>
      <c r="T12" s="40">
        <v>80000</v>
      </c>
      <c r="U12" s="40">
        <f t="shared" si="2"/>
        <v>30232000</v>
      </c>
      <c r="V12" s="158" t="s">
        <v>64</v>
      </c>
      <c r="W12" s="241" t="s">
        <v>24</v>
      </c>
      <c r="X12" s="242">
        <f t="shared" si="10"/>
        <v>377.9</v>
      </c>
      <c r="Y12" s="41">
        <v>9000</v>
      </c>
      <c r="Z12" s="42">
        <v>1</v>
      </c>
      <c r="AA12" s="40">
        <f t="shared" si="4"/>
        <v>3401100</v>
      </c>
      <c r="AB12" s="40">
        <f t="shared" si="6"/>
        <v>151160000</v>
      </c>
      <c r="AC12" s="40">
        <f t="shared" si="5"/>
        <v>5668500</v>
      </c>
      <c r="AD12" s="40">
        <f t="shared" si="7"/>
        <v>0</v>
      </c>
      <c r="AE12" s="56">
        <f t="shared" si="8"/>
        <v>190461600</v>
      </c>
      <c r="AF12" s="504"/>
      <c r="AG12" s="6"/>
      <c r="AH12" s="43"/>
      <c r="AI12" s="3"/>
      <c r="AJ12" s="4"/>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row>
    <row r="13" spans="1:249" s="2" customFormat="1" ht="24" x14ac:dyDescent="0.25">
      <c r="A13" s="94">
        <v>2</v>
      </c>
      <c r="B13" s="156" t="s">
        <v>196</v>
      </c>
      <c r="C13" s="251">
        <v>5</v>
      </c>
      <c r="D13" s="251">
        <v>64</v>
      </c>
      <c r="E13" s="231">
        <v>144</v>
      </c>
      <c r="F13" s="214" t="s">
        <v>33</v>
      </c>
      <c r="G13" s="210">
        <v>28</v>
      </c>
      <c r="H13" s="210">
        <v>782</v>
      </c>
      <c r="I13" s="211">
        <v>441.7</v>
      </c>
      <c r="J13" s="213" t="s">
        <v>7</v>
      </c>
      <c r="K13" s="48">
        <v>144</v>
      </c>
      <c r="L13" s="48">
        <f>441.7-240-144</f>
        <v>57.699999999999989</v>
      </c>
      <c r="M13" s="48"/>
      <c r="N13" s="49"/>
      <c r="O13" s="49"/>
      <c r="P13" s="49"/>
      <c r="Q13" s="50">
        <f t="shared" si="0"/>
        <v>201.7</v>
      </c>
      <c r="R13" s="55" t="str">
        <f t="shared" si="1"/>
        <v>LUC</v>
      </c>
      <c r="S13" s="183"/>
      <c r="T13" s="40">
        <v>80000</v>
      </c>
      <c r="U13" s="40">
        <f t="shared" si="2"/>
        <v>16136000</v>
      </c>
      <c r="V13" s="158" t="s">
        <v>64</v>
      </c>
      <c r="W13" s="241" t="s">
        <v>24</v>
      </c>
      <c r="X13" s="242">
        <f t="shared" si="10"/>
        <v>201.7</v>
      </c>
      <c r="Y13" s="41">
        <v>9000</v>
      </c>
      <c r="Z13" s="42">
        <v>1</v>
      </c>
      <c r="AA13" s="40">
        <f t="shared" si="4"/>
        <v>1815300</v>
      </c>
      <c r="AB13" s="40">
        <f t="shared" si="6"/>
        <v>80680000</v>
      </c>
      <c r="AC13" s="40">
        <f t="shared" si="5"/>
        <v>3025500</v>
      </c>
      <c r="AD13" s="40">
        <f t="shared" si="7"/>
        <v>0</v>
      </c>
      <c r="AE13" s="56">
        <f t="shared" si="8"/>
        <v>101656800</v>
      </c>
      <c r="AF13" s="504"/>
      <c r="AG13" s="69" t="s">
        <v>62</v>
      </c>
      <c r="AH13" s="43"/>
      <c r="AI13" s="3"/>
      <c r="AJ13" s="4"/>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row>
    <row r="14" spans="1:249" s="2" customFormat="1" ht="48" x14ac:dyDescent="0.25">
      <c r="A14" s="94">
        <v>2</v>
      </c>
      <c r="B14" s="156" t="s">
        <v>196</v>
      </c>
      <c r="C14" s="490" t="s">
        <v>40</v>
      </c>
      <c r="D14" s="490"/>
      <c r="E14" s="491">
        <v>240</v>
      </c>
      <c r="F14" s="215" t="s">
        <v>46</v>
      </c>
      <c r="G14" s="210">
        <v>28</v>
      </c>
      <c r="H14" s="210">
        <v>779</v>
      </c>
      <c r="I14" s="211">
        <v>69.5</v>
      </c>
      <c r="J14" s="213" t="s">
        <v>43</v>
      </c>
      <c r="K14" s="48"/>
      <c r="L14" s="48">
        <f t="shared" si="9"/>
        <v>69.5</v>
      </c>
      <c r="M14" s="48"/>
      <c r="N14" s="49"/>
      <c r="O14" s="49"/>
      <c r="P14" s="49"/>
      <c r="Q14" s="50">
        <f t="shared" si="0"/>
        <v>69.5</v>
      </c>
      <c r="R14" s="55" t="s">
        <v>86</v>
      </c>
      <c r="S14" s="183"/>
      <c r="T14" s="40">
        <v>80000</v>
      </c>
      <c r="U14" s="40">
        <f t="shared" si="2"/>
        <v>5560000</v>
      </c>
      <c r="V14" s="240" t="s">
        <v>212</v>
      </c>
      <c r="W14" s="241" t="s">
        <v>61</v>
      </c>
      <c r="X14" s="242">
        <v>3</v>
      </c>
      <c r="Y14" s="41">
        <v>575000</v>
      </c>
      <c r="Z14" s="42">
        <v>0.8</v>
      </c>
      <c r="AA14" s="40">
        <f t="shared" si="4"/>
        <v>1380000</v>
      </c>
      <c r="AB14" s="40">
        <f t="shared" si="6"/>
        <v>27800000</v>
      </c>
      <c r="AC14" s="40">
        <f t="shared" si="5"/>
        <v>1042500</v>
      </c>
      <c r="AD14" s="40">
        <f t="shared" si="7"/>
        <v>0</v>
      </c>
      <c r="AE14" s="56">
        <f t="shared" si="8"/>
        <v>35782500</v>
      </c>
      <c r="AF14" s="504"/>
      <c r="AG14" s="69"/>
      <c r="AH14" s="43"/>
      <c r="AI14" s="3"/>
      <c r="AJ14" s="4"/>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row>
    <row r="15" spans="1:249" s="163" customFormat="1" ht="90" x14ac:dyDescent="0.25">
      <c r="A15" s="94">
        <v>2</v>
      </c>
      <c r="B15" s="156" t="s">
        <v>196</v>
      </c>
      <c r="C15" s="490"/>
      <c r="D15" s="490"/>
      <c r="E15" s="491"/>
      <c r="F15" s="215" t="s">
        <v>46</v>
      </c>
      <c r="G15" s="210">
        <v>28</v>
      </c>
      <c r="H15" s="210">
        <v>779</v>
      </c>
      <c r="I15" s="211"/>
      <c r="J15" s="213"/>
      <c r="K15" s="48"/>
      <c r="L15" s="48"/>
      <c r="M15" s="48"/>
      <c r="N15" s="49"/>
      <c r="O15" s="49"/>
      <c r="P15" s="49"/>
      <c r="Q15" s="50"/>
      <c r="R15" s="55"/>
      <c r="S15" s="183"/>
      <c r="T15" s="40"/>
      <c r="U15" s="40">
        <f t="shared" si="2"/>
        <v>0</v>
      </c>
      <c r="V15" s="240" t="s">
        <v>419</v>
      </c>
      <c r="W15" s="241" t="s">
        <v>61</v>
      </c>
      <c r="X15" s="242">
        <v>4</v>
      </c>
      <c r="Y15" s="174">
        <f>305000*90%</f>
        <v>274500</v>
      </c>
      <c r="Z15" s="178">
        <v>0.8</v>
      </c>
      <c r="AA15" s="71">
        <f t="shared" si="4"/>
        <v>878400</v>
      </c>
      <c r="AB15" s="40">
        <f t="shared" si="6"/>
        <v>0</v>
      </c>
      <c r="AC15" s="40">
        <f t="shared" si="5"/>
        <v>0</v>
      </c>
      <c r="AD15" s="40">
        <f t="shared" si="7"/>
        <v>0</v>
      </c>
      <c r="AE15" s="56">
        <f t="shared" si="8"/>
        <v>878400</v>
      </c>
      <c r="AF15" s="504"/>
      <c r="AG15" s="264" t="s">
        <v>265</v>
      </c>
      <c r="AH15" s="159"/>
      <c r="AI15" s="160"/>
      <c r="AJ15" s="161"/>
      <c r="AK15" s="162"/>
      <c r="AL15" s="162"/>
      <c r="AM15" s="162"/>
      <c r="AN15" s="162"/>
      <c r="AO15" s="162"/>
      <c r="AP15" s="162"/>
      <c r="AQ15" s="162"/>
      <c r="AR15" s="162"/>
      <c r="AS15" s="162"/>
      <c r="AT15" s="162"/>
      <c r="AU15" s="162"/>
      <c r="AV15" s="162"/>
      <c r="AW15" s="162"/>
      <c r="AX15" s="162"/>
      <c r="AY15" s="162"/>
      <c r="AZ15" s="162"/>
      <c r="BA15" s="162"/>
      <c r="BB15" s="162"/>
      <c r="BC15" s="162"/>
      <c r="BD15" s="162"/>
      <c r="BE15" s="162"/>
      <c r="BF15" s="162"/>
      <c r="BG15" s="162"/>
      <c r="BH15" s="162"/>
      <c r="BI15" s="162"/>
      <c r="BJ15" s="162"/>
      <c r="BK15" s="162"/>
      <c r="BL15" s="162"/>
      <c r="BM15" s="162"/>
      <c r="BN15" s="162"/>
      <c r="BO15" s="162"/>
      <c r="BP15" s="162"/>
      <c r="BQ15" s="162"/>
      <c r="BR15" s="162"/>
      <c r="BS15" s="162"/>
      <c r="BT15" s="162"/>
      <c r="BU15" s="162"/>
      <c r="BV15" s="162"/>
      <c r="BW15" s="162"/>
      <c r="BX15" s="162"/>
      <c r="BY15" s="162"/>
      <c r="BZ15" s="162"/>
      <c r="CA15" s="162"/>
      <c r="CB15" s="162"/>
      <c r="CC15" s="162"/>
      <c r="CD15" s="162"/>
      <c r="CE15" s="162"/>
      <c r="CF15" s="162"/>
      <c r="CG15" s="162"/>
      <c r="CH15" s="162"/>
      <c r="CI15" s="162"/>
      <c r="CJ15" s="162"/>
      <c r="CK15" s="162"/>
      <c r="CL15" s="162"/>
      <c r="CM15" s="162"/>
      <c r="CN15" s="162"/>
      <c r="CO15" s="162"/>
      <c r="CP15" s="162"/>
      <c r="CQ15" s="162"/>
      <c r="CR15" s="162"/>
      <c r="CS15" s="162"/>
      <c r="CT15" s="162"/>
      <c r="CU15" s="162"/>
      <c r="CV15" s="162"/>
      <c r="CW15" s="162"/>
      <c r="CX15" s="162"/>
      <c r="CY15" s="162"/>
      <c r="CZ15" s="162"/>
      <c r="DA15" s="162"/>
      <c r="DB15" s="162"/>
      <c r="DC15" s="162"/>
      <c r="DD15" s="162"/>
      <c r="DE15" s="162"/>
      <c r="DF15" s="162"/>
      <c r="DG15" s="162"/>
      <c r="DH15" s="162"/>
      <c r="DI15" s="162"/>
      <c r="DJ15" s="162"/>
      <c r="DK15" s="162"/>
      <c r="DL15" s="162"/>
      <c r="DM15" s="162"/>
      <c r="DN15" s="162"/>
      <c r="DO15" s="162"/>
      <c r="DP15" s="162"/>
      <c r="DQ15" s="162"/>
      <c r="DR15" s="162"/>
      <c r="DS15" s="162"/>
      <c r="DT15" s="162"/>
      <c r="DU15" s="162"/>
      <c r="DV15" s="162"/>
      <c r="DW15" s="162"/>
      <c r="DX15" s="162"/>
      <c r="DY15" s="162"/>
      <c r="DZ15" s="162"/>
      <c r="EA15" s="162"/>
      <c r="EB15" s="162"/>
      <c r="EC15" s="162"/>
      <c r="ED15" s="162"/>
      <c r="EE15" s="162"/>
      <c r="EF15" s="162"/>
      <c r="EG15" s="162"/>
      <c r="EH15" s="162"/>
      <c r="EI15" s="162"/>
      <c r="EJ15" s="162"/>
      <c r="EK15" s="162"/>
      <c r="EL15" s="162"/>
      <c r="EM15" s="162"/>
      <c r="EN15" s="162"/>
      <c r="EO15" s="162"/>
      <c r="EP15" s="162"/>
      <c r="EQ15" s="162"/>
      <c r="ER15" s="162"/>
      <c r="ES15" s="162"/>
      <c r="ET15" s="162"/>
      <c r="EU15" s="162"/>
      <c r="EV15" s="162"/>
      <c r="EW15" s="162"/>
      <c r="EX15" s="162"/>
      <c r="EY15" s="162"/>
      <c r="EZ15" s="162"/>
      <c r="FA15" s="162"/>
      <c r="FB15" s="162"/>
      <c r="FC15" s="162"/>
      <c r="FD15" s="162"/>
      <c r="FE15" s="162"/>
      <c r="FF15" s="162"/>
      <c r="FG15" s="162"/>
      <c r="FH15" s="162"/>
      <c r="FI15" s="162"/>
      <c r="FJ15" s="162"/>
      <c r="FK15" s="162"/>
      <c r="FL15" s="162"/>
      <c r="FM15" s="162"/>
      <c r="FN15" s="162"/>
      <c r="FO15" s="162"/>
      <c r="FP15" s="162"/>
      <c r="FQ15" s="162"/>
      <c r="FR15" s="162"/>
      <c r="FS15" s="162"/>
      <c r="FT15" s="162"/>
      <c r="FU15" s="162"/>
      <c r="FV15" s="162"/>
      <c r="FW15" s="162"/>
      <c r="FX15" s="162"/>
      <c r="FY15" s="162"/>
      <c r="FZ15" s="162"/>
      <c r="GA15" s="162"/>
      <c r="GB15" s="162"/>
      <c r="GC15" s="162"/>
      <c r="GD15" s="162"/>
      <c r="GE15" s="162"/>
      <c r="GF15" s="162"/>
      <c r="GG15" s="162"/>
      <c r="GH15" s="162"/>
      <c r="GI15" s="162"/>
      <c r="GJ15" s="162"/>
      <c r="GK15" s="162"/>
      <c r="GL15" s="162"/>
      <c r="GM15" s="162"/>
      <c r="GN15" s="162"/>
      <c r="GO15" s="162"/>
      <c r="GP15" s="162"/>
      <c r="GQ15" s="162"/>
      <c r="GR15" s="162"/>
      <c r="GS15" s="162"/>
      <c r="GT15" s="162"/>
      <c r="GU15" s="162"/>
      <c r="GV15" s="162"/>
      <c r="GW15" s="162"/>
      <c r="GX15" s="162"/>
      <c r="GY15" s="162"/>
      <c r="GZ15" s="162"/>
      <c r="HA15" s="162"/>
      <c r="HB15" s="162"/>
      <c r="HC15" s="162"/>
      <c r="HD15" s="162"/>
      <c r="HE15" s="162"/>
      <c r="HF15" s="162"/>
      <c r="HG15" s="162"/>
      <c r="HH15" s="162"/>
      <c r="HI15" s="162"/>
      <c r="HJ15" s="162"/>
      <c r="HK15" s="162"/>
      <c r="HL15" s="162"/>
      <c r="HM15" s="162"/>
      <c r="HN15" s="162"/>
      <c r="HO15" s="162"/>
      <c r="HP15" s="162"/>
      <c r="HQ15" s="162"/>
      <c r="HR15" s="162"/>
      <c r="HS15" s="162"/>
      <c r="HT15" s="162"/>
      <c r="HU15" s="162"/>
      <c r="HV15" s="162"/>
      <c r="HW15" s="162"/>
      <c r="HX15" s="162"/>
      <c r="HY15" s="162"/>
      <c r="HZ15" s="162"/>
      <c r="IA15" s="162"/>
      <c r="IB15" s="162"/>
      <c r="IC15" s="162"/>
      <c r="ID15" s="162"/>
      <c r="IE15" s="162"/>
      <c r="IF15" s="162"/>
      <c r="IG15" s="162"/>
      <c r="IH15" s="162"/>
      <c r="II15" s="162"/>
      <c r="IJ15" s="162"/>
      <c r="IK15" s="162"/>
      <c r="IL15" s="162"/>
      <c r="IM15" s="162"/>
      <c r="IN15" s="162"/>
      <c r="IO15" s="162"/>
    </row>
    <row r="16" spans="1:249" s="2" customFormat="1" ht="48" x14ac:dyDescent="0.25">
      <c r="A16" s="94">
        <v>2</v>
      </c>
      <c r="B16" s="156" t="s">
        <v>196</v>
      </c>
      <c r="C16" s="490"/>
      <c r="D16" s="490"/>
      <c r="E16" s="491"/>
      <c r="F16" s="215" t="s">
        <v>46</v>
      </c>
      <c r="G16" s="210">
        <v>28</v>
      </c>
      <c r="H16" s="210">
        <v>780</v>
      </c>
      <c r="I16" s="211">
        <v>90.3</v>
      </c>
      <c r="J16" s="213" t="s">
        <v>43</v>
      </c>
      <c r="K16" s="48"/>
      <c r="L16" s="48">
        <f t="shared" si="9"/>
        <v>90.3</v>
      </c>
      <c r="M16" s="48"/>
      <c r="N16" s="49"/>
      <c r="O16" s="49"/>
      <c r="P16" s="49"/>
      <c r="Q16" s="50">
        <f t="shared" si="0"/>
        <v>90.3</v>
      </c>
      <c r="R16" s="55" t="s">
        <v>86</v>
      </c>
      <c r="S16" s="183"/>
      <c r="T16" s="40">
        <v>80000</v>
      </c>
      <c r="U16" s="40">
        <f t="shared" si="2"/>
        <v>7224000</v>
      </c>
      <c r="V16" s="240" t="s">
        <v>212</v>
      </c>
      <c r="W16" s="241" t="s">
        <v>61</v>
      </c>
      <c r="X16" s="242">
        <v>4</v>
      </c>
      <c r="Y16" s="41">
        <v>575000</v>
      </c>
      <c r="Z16" s="42">
        <v>0.8</v>
      </c>
      <c r="AA16" s="40">
        <f t="shared" si="4"/>
        <v>1840000</v>
      </c>
      <c r="AB16" s="40">
        <f t="shared" si="6"/>
        <v>36120000</v>
      </c>
      <c r="AC16" s="40">
        <f t="shared" si="5"/>
        <v>1354500</v>
      </c>
      <c r="AD16" s="40">
        <f t="shared" si="7"/>
        <v>0</v>
      </c>
      <c r="AE16" s="56">
        <f t="shared" si="8"/>
        <v>46538500</v>
      </c>
      <c r="AF16" s="504"/>
      <c r="AG16" s="6"/>
      <c r="AH16" s="43">
        <f>AH17-90.3</f>
        <v>234.7</v>
      </c>
      <c r="AI16" s="3"/>
      <c r="AJ16" s="4"/>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row>
    <row r="17" spans="1:249" s="2" customFormat="1" ht="90" x14ac:dyDescent="0.25">
      <c r="A17" s="94">
        <v>2</v>
      </c>
      <c r="B17" s="156" t="s">
        <v>196</v>
      </c>
      <c r="C17" s="490"/>
      <c r="D17" s="490"/>
      <c r="E17" s="491"/>
      <c r="F17" s="215" t="s">
        <v>46</v>
      </c>
      <c r="G17" s="210">
        <v>28</v>
      </c>
      <c r="H17" s="210">
        <v>780</v>
      </c>
      <c r="I17" s="211"/>
      <c r="J17" s="213"/>
      <c r="K17" s="48"/>
      <c r="L17" s="48"/>
      <c r="M17" s="48"/>
      <c r="N17" s="49"/>
      <c r="O17" s="49"/>
      <c r="P17" s="49"/>
      <c r="Q17" s="50"/>
      <c r="R17" s="55"/>
      <c r="S17" s="183"/>
      <c r="T17" s="40"/>
      <c r="U17" s="40">
        <f t="shared" si="2"/>
        <v>0</v>
      </c>
      <c r="V17" s="240" t="s">
        <v>197</v>
      </c>
      <c r="W17" s="241" t="s">
        <v>61</v>
      </c>
      <c r="X17" s="242">
        <v>9</v>
      </c>
      <c r="Y17" s="174">
        <f>305000*80%</f>
        <v>244000</v>
      </c>
      <c r="Z17" s="70">
        <v>0.8</v>
      </c>
      <c r="AA17" s="40">
        <f t="shared" si="4"/>
        <v>1756800</v>
      </c>
      <c r="AB17" s="40">
        <f t="shared" si="6"/>
        <v>0</v>
      </c>
      <c r="AC17" s="40">
        <f t="shared" si="5"/>
        <v>0</v>
      </c>
      <c r="AD17" s="40">
        <f t="shared" si="7"/>
        <v>0</v>
      </c>
      <c r="AE17" s="56">
        <f t="shared" si="8"/>
        <v>1756800</v>
      </c>
      <c r="AF17" s="504"/>
      <c r="AG17" s="264" t="s">
        <v>264</v>
      </c>
      <c r="AH17" s="43">
        <f>13*25</f>
        <v>325</v>
      </c>
      <c r="AI17" s="3"/>
      <c r="AJ17" s="4"/>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row>
    <row r="18" spans="1:249" s="2" customFormat="1" ht="25.5" x14ac:dyDescent="0.25">
      <c r="A18" s="94">
        <v>2</v>
      </c>
      <c r="B18" s="156" t="s">
        <v>196</v>
      </c>
      <c r="C18" s="490"/>
      <c r="D18" s="490"/>
      <c r="E18" s="491"/>
      <c r="F18" s="215" t="s">
        <v>46</v>
      </c>
      <c r="G18" s="210">
        <v>28</v>
      </c>
      <c r="H18" s="210">
        <v>731</v>
      </c>
      <c r="I18" s="211">
        <v>171.8</v>
      </c>
      <c r="J18" s="213" t="s">
        <v>43</v>
      </c>
      <c r="K18" s="48"/>
      <c r="L18" s="48">
        <v>106.2</v>
      </c>
      <c r="M18" s="48"/>
      <c r="N18" s="49"/>
      <c r="O18" s="49"/>
      <c r="P18" s="49"/>
      <c r="Q18" s="50">
        <f t="shared" ref="Q18" si="11">K18+L18+M18+N18+O18+P18</f>
        <v>106.2</v>
      </c>
      <c r="R18" s="55" t="s">
        <v>86</v>
      </c>
      <c r="S18" s="183"/>
      <c r="T18" s="40">
        <v>80000</v>
      </c>
      <c r="U18" s="40">
        <f t="shared" si="2"/>
        <v>8496000</v>
      </c>
      <c r="V18" s="96" t="s">
        <v>64</v>
      </c>
      <c r="W18" s="241" t="s">
        <v>24</v>
      </c>
      <c r="X18" s="242">
        <f>Q18</f>
        <v>106.2</v>
      </c>
      <c r="Y18" s="41">
        <v>9000</v>
      </c>
      <c r="Z18" s="42">
        <v>1</v>
      </c>
      <c r="AA18" s="40">
        <f t="shared" si="4"/>
        <v>955800</v>
      </c>
      <c r="AB18" s="40">
        <f t="shared" si="6"/>
        <v>42480000</v>
      </c>
      <c r="AC18" s="40">
        <f t="shared" si="5"/>
        <v>1593000</v>
      </c>
      <c r="AD18" s="40">
        <f t="shared" si="7"/>
        <v>0</v>
      </c>
      <c r="AE18" s="56">
        <f t="shared" si="8"/>
        <v>53524800</v>
      </c>
      <c r="AF18" s="504"/>
      <c r="AG18" s="69" t="s">
        <v>436</v>
      </c>
      <c r="AH18" s="43"/>
      <c r="AI18" s="3"/>
      <c r="AJ18" s="4"/>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row>
    <row r="19" spans="1:249" s="2" customFormat="1" ht="29.1" customHeight="1" x14ac:dyDescent="0.25">
      <c r="A19" s="94">
        <v>3</v>
      </c>
      <c r="B19" s="95" t="s">
        <v>200</v>
      </c>
      <c r="C19" s="251">
        <v>5</v>
      </c>
      <c r="D19" s="251">
        <v>34</v>
      </c>
      <c r="E19" s="231">
        <v>480</v>
      </c>
      <c r="F19" s="214" t="s">
        <v>33</v>
      </c>
      <c r="G19" s="210">
        <v>29</v>
      </c>
      <c r="H19" s="210">
        <v>23</v>
      </c>
      <c r="I19" s="211">
        <v>435.6</v>
      </c>
      <c r="J19" s="213" t="s">
        <v>7</v>
      </c>
      <c r="K19" s="48">
        <v>435.6</v>
      </c>
      <c r="L19" s="48"/>
      <c r="M19" s="48"/>
      <c r="N19" s="49"/>
      <c r="O19" s="49"/>
      <c r="P19" s="49"/>
      <c r="Q19" s="50">
        <f t="shared" si="0"/>
        <v>435.6</v>
      </c>
      <c r="R19" s="55" t="str">
        <f t="shared" si="1"/>
        <v>LUC</v>
      </c>
      <c r="S19" s="183"/>
      <c r="T19" s="40">
        <v>80000</v>
      </c>
      <c r="U19" s="40">
        <f t="shared" si="2"/>
        <v>34848000</v>
      </c>
      <c r="V19" s="96" t="s">
        <v>64</v>
      </c>
      <c r="W19" s="241" t="s">
        <v>24</v>
      </c>
      <c r="X19" s="242">
        <f t="shared" ref="X19:X32" si="12">Q19</f>
        <v>435.6</v>
      </c>
      <c r="Y19" s="41">
        <v>9000</v>
      </c>
      <c r="Z19" s="42">
        <v>1</v>
      </c>
      <c r="AA19" s="40">
        <f t="shared" si="4"/>
        <v>3920400</v>
      </c>
      <c r="AB19" s="40">
        <f t="shared" si="6"/>
        <v>174240000</v>
      </c>
      <c r="AC19" s="40">
        <f t="shared" si="5"/>
        <v>6534000</v>
      </c>
      <c r="AD19" s="40">
        <f t="shared" si="7"/>
        <v>0</v>
      </c>
      <c r="AE19" s="56">
        <f t="shared" si="8"/>
        <v>219542400</v>
      </c>
      <c r="AF19" s="504">
        <f>SUM(AE19:AE22)</f>
        <v>651268800</v>
      </c>
      <c r="AG19" s="69"/>
      <c r="AH19" s="43"/>
      <c r="AI19" s="3"/>
      <c r="AJ19" s="4"/>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row>
    <row r="20" spans="1:249" s="2" customFormat="1" ht="29.1" customHeight="1" x14ac:dyDescent="0.25">
      <c r="A20" s="94">
        <v>3</v>
      </c>
      <c r="B20" s="95" t="s">
        <v>200</v>
      </c>
      <c r="C20" s="251">
        <v>5</v>
      </c>
      <c r="D20" s="251">
        <v>30</v>
      </c>
      <c r="E20" s="231">
        <v>192</v>
      </c>
      <c r="F20" s="214" t="s">
        <v>33</v>
      </c>
      <c r="G20" s="210">
        <v>29</v>
      </c>
      <c r="H20" s="210">
        <v>39</v>
      </c>
      <c r="I20" s="211">
        <v>293.89999999999998</v>
      </c>
      <c r="J20" s="213" t="s">
        <v>7</v>
      </c>
      <c r="K20" s="48">
        <v>192</v>
      </c>
      <c r="L20" s="48">
        <f>I20-K20</f>
        <v>101.89999999999998</v>
      </c>
      <c r="M20" s="48"/>
      <c r="N20" s="49"/>
      <c r="O20" s="49"/>
      <c r="P20" s="49"/>
      <c r="Q20" s="50">
        <f t="shared" si="0"/>
        <v>293.89999999999998</v>
      </c>
      <c r="R20" s="55" t="str">
        <f t="shared" si="1"/>
        <v>LUC</v>
      </c>
      <c r="S20" s="183"/>
      <c r="T20" s="40">
        <v>80000</v>
      </c>
      <c r="U20" s="40">
        <f t="shared" si="2"/>
        <v>23512000</v>
      </c>
      <c r="V20" s="96" t="s">
        <v>64</v>
      </c>
      <c r="W20" s="241" t="s">
        <v>24</v>
      </c>
      <c r="X20" s="242">
        <f t="shared" si="12"/>
        <v>293.89999999999998</v>
      </c>
      <c r="Y20" s="41">
        <v>9000</v>
      </c>
      <c r="Z20" s="42">
        <v>1</v>
      </c>
      <c r="AA20" s="40">
        <f t="shared" si="4"/>
        <v>2645100</v>
      </c>
      <c r="AB20" s="40">
        <f t="shared" si="6"/>
        <v>117560000</v>
      </c>
      <c r="AC20" s="40">
        <f t="shared" si="5"/>
        <v>4408500</v>
      </c>
      <c r="AD20" s="40">
        <f t="shared" si="7"/>
        <v>0</v>
      </c>
      <c r="AE20" s="56">
        <f t="shared" si="8"/>
        <v>148125600</v>
      </c>
      <c r="AF20" s="504"/>
      <c r="AG20" s="44"/>
      <c r="AH20" s="43"/>
      <c r="AI20" s="3"/>
      <c r="AJ20" s="4"/>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row>
    <row r="21" spans="1:249" s="2" customFormat="1" ht="29.1" customHeight="1" x14ac:dyDescent="0.25">
      <c r="A21" s="94">
        <v>3</v>
      </c>
      <c r="B21" s="95" t="s">
        <v>200</v>
      </c>
      <c r="C21" s="251">
        <v>5</v>
      </c>
      <c r="D21" s="251">
        <v>98</v>
      </c>
      <c r="E21" s="231">
        <v>288</v>
      </c>
      <c r="F21" s="215" t="s">
        <v>201</v>
      </c>
      <c r="G21" s="210">
        <v>28</v>
      </c>
      <c r="H21" s="210">
        <v>723</v>
      </c>
      <c r="I21" s="211">
        <v>498.1</v>
      </c>
      <c r="J21" s="213" t="s">
        <v>7</v>
      </c>
      <c r="K21" s="48">
        <v>288</v>
      </c>
      <c r="L21" s="48">
        <f>I21-K21</f>
        <v>210.10000000000002</v>
      </c>
      <c r="M21" s="48"/>
      <c r="N21" s="49"/>
      <c r="O21" s="49"/>
      <c r="P21" s="49"/>
      <c r="Q21" s="50">
        <f t="shared" si="0"/>
        <v>498.1</v>
      </c>
      <c r="R21" s="55" t="str">
        <f t="shared" si="1"/>
        <v>LUC</v>
      </c>
      <c r="S21" s="183"/>
      <c r="T21" s="40">
        <v>80000</v>
      </c>
      <c r="U21" s="40">
        <f t="shared" si="2"/>
        <v>39848000</v>
      </c>
      <c r="V21" s="96" t="s">
        <v>64</v>
      </c>
      <c r="W21" s="241" t="s">
        <v>24</v>
      </c>
      <c r="X21" s="242">
        <f t="shared" si="12"/>
        <v>498.1</v>
      </c>
      <c r="Y21" s="41">
        <v>9000</v>
      </c>
      <c r="Z21" s="42">
        <v>1</v>
      </c>
      <c r="AA21" s="40">
        <f t="shared" si="4"/>
        <v>4482900</v>
      </c>
      <c r="AB21" s="40">
        <f t="shared" si="6"/>
        <v>199240000</v>
      </c>
      <c r="AC21" s="40">
        <f t="shared" si="5"/>
        <v>7471500</v>
      </c>
      <c r="AD21" s="40">
        <f t="shared" si="7"/>
        <v>0</v>
      </c>
      <c r="AE21" s="56">
        <f t="shared" si="8"/>
        <v>251042400</v>
      </c>
      <c r="AF21" s="504"/>
      <c r="AG21" s="6"/>
      <c r="AH21" s="43"/>
      <c r="AI21" s="3"/>
      <c r="AJ21" s="4"/>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row>
    <row r="22" spans="1:249" s="2" customFormat="1" ht="30.75" customHeight="1" x14ac:dyDescent="0.25">
      <c r="A22" s="94">
        <v>3</v>
      </c>
      <c r="B22" s="95" t="s">
        <v>200</v>
      </c>
      <c r="C22" s="251"/>
      <c r="D22" s="251"/>
      <c r="E22" s="231"/>
      <c r="F22" s="215" t="s">
        <v>46</v>
      </c>
      <c r="G22" s="210">
        <v>28</v>
      </c>
      <c r="H22" s="210">
        <v>781</v>
      </c>
      <c r="I22" s="211">
        <v>64.599999999999994</v>
      </c>
      <c r="J22" s="213" t="s">
        <v>43</v>
      </c>
      <c r="K22" s="48"/>
      <c r="L22" s="48">
        <f>I22-K22</f>
        <v>64.599999999999994</v>
      </c>
      <c r="M22" s="48"/>
      <c r="N22" s="49"/>
      <c r="O22" s="49"/>
      <c r="P22" s="49"/>
      <c r="Q22" s="50">
        <f t="shared" si="0"/>
        <v>64.599999999999994</v>
      </c>
      <c r="R22" s="55" t="s">
        <v>86</v>
      </c>
      <c r="S22" s="183"/>
      <c r="T22" s="40">
        <v>80000</v>
      </c>
      <c r="U22" s="40">
        <f t="shared" si="2"/>
        <v>5168000</v>
      </c>
      <c r="V22" s="96" t="s">
        <v>64</v>
      </c>
      <c r="W22" s="241" t="s">
        <v>24</v>
      </c>
      <c r="X22" s="242">
        <f t="shared" si="12"/>
        <v>64.599999999999994</v>
      </c>
      <c r="Y22" s="41">
        <v>9000</v>
      </c>
      <c r="Z22" s="42">
        <v>1</v>
      </c>
      <c r="AA22" s="40">
        <f t="shared" si="4"/>
        <v>581400</v>
      </c>
      <c r="AB22" s="40">
        <f t="shared" si="6"/>
        <v>25840000</v>
      </c>
      <c r="AC22" s="40">
        <f t="shared" si="5"/>
        <v>968999.99999999988</v>
      </c>
      <c r="AD22" s="40">
        <f t="shared" si="7"/>
        <v>0</v>
      </c>
      <c r="AE22" s="56">
        <f t="shared" si="8"/>
        <v>32558400</v>
      </c>
      <c r="AF22" s="504"/>
      <c r="AG22" s="69"/>
      <c r="AH22" s="43"/>
      <c r="AI22" s="3"/>
      <c r="AJ22" s="4"/>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row>
    <row r="23" spans="1:249" s="2" customFormat="1" ht="40.5" customHeight="1" x14ac:dyDescent="0.25">
      <c r="A23" s="94">
        <v>4</v>
      </c>
      <c r="B23" s="95" t="s">
        <v>202</v>
      </c>
      <c r="C23" s="246">
        <v>5</v>
      </c>
      <c r="D23" s="246">
        <v>87</v>
      </c>
      <c r="E23" s="247">
        <v>720</v>
      </c>
      <c r="F23" s="214" t="s">
        <v>33</v>
      </c>
      <c r="G23" s="210">
        <v>28</v>
      </c>
      <c r="H23" s="210">
        <v>460</v>
      </c>
      <c r="I23" s="211">
        <v>802.8</v>
      </c>
      <c r="J23" s="213" t="s">
        <v>7</v>
      </c>
      <c r="K23" s="48">
        <v>720</v>
      </c>
      <c r="L23" s="48">
        <f>762.8-720</f>
        <v>42.799999999999955</v>
      </c>
      <c r="M23" s="48"/>
      <c r="N23" s="49"/>
      <c r="O23" s="49"/>
      <c r="P23" s="49"/>
      <c r="Q23" s="50">
        <f t="shared" si="0"/>
        <v>762.8</v>
      </c>
      <c r="R23" s="55" t="str">
        <f t="shared" si="1"/>
        <v>LUC</v>
      </c>
      <c r="S23" s="183"/>
      <c r="T23" s="40">
        <v>80000</v>
      </c>
      <c r="U23" s="40">
        <f t="shared" si="2"/>
        <v>61024000</v>
      </c>
      <c r="V23" s="96" t="s">
        <v>64</v>
      </c>
      <c r="W23" s="241" t="s">
        <v>24</v>
      </c>
      <c r="X23" s="242">
        <f t="shared" si="12"/>
        <v>762.8</v>
      </c>
      <c r="Y23" s="41">
        <v>9000</v>
      </c>
      <c r="Z23" s="42">
        <v>1</v>
      </c>
      <c r="AA23" s="40">
        <f t="shared" si="4"/>
        <v>6865200</v>
      </c>
      <c r="AB23" s="40">
        <f t="shared" si="6"/>
        <v>305120000</v>
      </c>
      <c r="AC23" s="40">
        <f t="shared" si="5"/>
        <v>11442000</v>
      </c>
      <c r="AD23" s="40">
        <f t="shared" si="7"/>
        <v>0</v>
      </c>
      <c r="AE23" s="56">
        <f t="shared" si="8"/>
        <v>384451200</v>
      </c>
      <c r="AF23" s="504">
        <f>SUM(AE23:AE25)</f>
        <v>780040800</v>
      </c>
      <c r="AG23" s="69" t="s">
        <v>314</v>
      </c>
      <c r="AH23" s="43"/>
      <c r="AI23" s="3"/>
      <c r="AJ23" s="4"/>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row>
    <row r="24" spans="1:249" s="2" customFormat="1" ht="37.5" customHeight="1" x14ac:dyDescent="0.25">
      <c r="A24" s="94">
        <v>4</v>
      </c>
      <c r="B24" s="95" t="s">
        <v>202</v>
      </c>
      <c r="C24" s="246">
        <v>5</v>
      </c>
      <c r="D24" s="246">
        <v>98</v>
      </c>
      <c r="E24" s="247">
        <v>360</v>
      </c>
      <c r="F24" s="215" t="s">
        <v>201</v>
      </c>
      <c r="G24" s="210">
        <v>28</v>
      </c>
      <c r="H24" s="238">
        <v>732</v>
      </c>
      <c r="I24" s="239">
        <v>408.1</v>
      </c>
      <c r="J24" s="213" t="s">
        <v>7</v>
      </c>
      <c r="K24" s="48">
        <v>360</v>
      </c>
      <c r="L24" s="48">
        <f>I24-K24</f>
        <v>48.100000000000023</v>
      </c>
      <c r="M24" s="48"/>
      <c r="N24" s="49"/>
      <c r="O24" s="49"/>
      <c r="P24" s="49"/>
      <c r="Q24" s="50">
        <f t="shared" si="0"/>
        <v>408.1</v>
      </c>
      <c r="R24" s="55" t="str">
        <f t="shared" si="1"/>
        <v>LUC</v>
      </c>
      <c r="S24" s="183"/>
      <c r="T24" s="40">
        <v>80000</v>
      </c>
      <c r="U24" s="40">
        <f t="shared" si="2"/>
        <v>32648000</v>
      </c>
      <c r="V24" s="96" t="s">
        <v>64</v>
      </c>
      <c r="W24" s="241" t="s">
        <v>24</v>
      </c>
      <c r="X24" s="242">
        <f t="shared" si="12"/>
        <v>408.1</v>
      </c>
      <c r="Y24" s="41">
        <v>9000</v>
      </c>
      <c r="Z24" s="42">
        <v>1</v>
      </c>
      <c r="AA24" s="40">
        <f t="shared" si="4"/>
        <v>3672900</v>
      </c>
      <c r="AB24" s="40">
        <f t="shared" si="6"/>
        <v>163240000</v>
      </c>
      <c r="AC24" s="40">
        <f t="shared" si="5"/>
        <v>6121500</v>
      </c>
      <c r="AD24" s="40">
        <f t="shared" si="7"/>
        <v>0</v>
      </c>
      <c r="AE24" s="56">
        <f t="shared" si="8"/>
        <v>205682400</v>
      </c>
      <c r="AF24" s="504"/>
      <c r="AG24" s="6"/>
      <c r="AH24" s="43"/>
      <c r="AI24" s="3"/>
      <c r="AJ24" s="4"/>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row>
    <row r="25" spans="1:249" s="2" customFormat="1" ht="34.5" customHeight="1" x14ac:dyDescent="0.25">
      <c r="A25" s="94">
        <v>4</v>
      </c>
      <c r="B25" s="95" t="s">
        <v>202</v>
      </c>
      <c r="C25" s="246"/>
      <c r="D25" s="246"/>
      <c r="E25" s="247"/>
      <c r="F25" s="214" t="s">
        <v>33</v>
      </c>
      <c r="G25" s="210">
        <v>28</v>
      </c>
      <c r="H25" s="210">
        <v>680</v>
      </c>
      <c r="I25" s="211">
        <v>376.8</v>
      </c>
      <c r="J25" s="213" t="s">
        <v>7</v>
      </c>
      <c r="K25" s="48"/>
      <c r="L25" s="48">
        <f>I25-K25</f>
        <v>376.8</v>
      </c>
      <c r="M25" s="48"/>
      <c r="N25" s="49"/>
      <c r="O25" s="49"/>
      <c r="P25" s="49"/>
      <c r="Q25" s="50">
        <f t="shared" si="0"/>
        <v>376.8</v>
      </c>
      <c r="R25" s="55" t="str">
        <f t="shared" si="1"/>
        <v>LUC</v>
      </c>
      <c r="S25" s="183"/>
      <c r="T25" s="40">
        <v>80000</v>
      </c>
      <c r="U25" s="40">
        <f t="shared" si="2"/>
        <v>30144000</v>
      </c>
      <c r="V25" s="96" t="s">
        <v>64</v>
      </c>
      <c r="W25" s="241" t="s">
        <v>24</v>
      </c>
      <c r="X25" s="242">
        <f t="shared" si="12"/>
        <v>376.8</v>
      </c>
      <c r="Y25" s="41">
        <v>9000</v>
      </c>
      <c r="Z25" s="42">
        <v>1</v>
      </c>
      <c r="AA25" s="40">
        <f t="shared" si="4"/>
        <v>3391200</v>
      </c>
      <c r="AB25" s="40">
        <f t="shared" si="6"/>
        <v>150720000</v>
      </c>
      <c r="AC25" s="40">
        <f t="shared" si="5"/>
        <v>5652000</v>
      </c>
      <c r="AD25" s="40">
        <f t="shared" si="7"/>
        <v>0</v>
      </c>
      <c r="AE25" s="56">
        <f t="shared" si="8"/>
        <v>189907200</v>
      </c>
      <c r="AF25" s="504"/>
      <c r="AG25" s="6" t="s">
        <v>104</v>
      </c>
      <c r="AH25" s="43"/>
      <c r="AI25" s="3"/>
      <c r="AJ25" s="4"/>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row>
    <row r="26" spans="1:249" s="2" customFormat="1" ht="30" customHeight="1" x14ac:dyDescent="0.25">
      <c r="A26" s="94">
        <v>5</v>
      </c>
      <c r="B26" s="266" t="s">
        <v>203</v>
      </c>
      <c r="C26" s="251">
        <v>5</v>
      </c>
      <c r="D26" s="251">
        <v>66</v>
      </c>
      <c r="E26" s="231">
        <v>288</v>
      </c>
      <c r="F26" s="214" t="s">
        <v>33</v>
      </c>
      <c r="G26" s="210">
        <v>28</v>
      </c>
      <c r="H26" s="210">
        <v>681</v>
      </c>
      <c r="I26" s="211">
        <v>422.2</v>
      </c>
      <c r="J26" s="213" t="s">
        <v>7</v>
      </c>
      <c r="K26" s="48">
        <v>288</v>
      </c>
      <c r="L26" s="48">
        <f>I26-K26</f>
        <v>134.19999999999999</v>
      </c>
      <c r="M26" s="48"/>
      <c r="N26" s="49"/>
      <c r="O26" s="49"/>
      <c r="P26" s="49"/>
      <c r="Q26" s="50">
        <f t="shared" si="0"/>
        <v>422.2</v>
      </c>
      <c r="R26" s="55" t="str">
        <f t="shared" si="1"/>
        <v>LUC</v>
      </c>
      <c r="S26" s="183"/>
      <c r="T26" s="40">
        <v>80000</v>
      </c>
      <c r="U26" s="40">
        <f t="shared" si="2"/>
        <v>33776000</v>
      </c>
      <c r="V26" s="96" t="s">
        <v>64</v>
      </c>
      <c r="W26" s="241" t="s">
        <v>24</v>
      </c>
      <c r="X26" s="242">
        <f t="shared" si="12"/>
        <v>422.2</v>
      </c>
      <c r="Y26" s="41">
        <v>9000</v>
      </c>
      <c r="Z26" s="42">
        <v>1</v>
      </c>
      <c r="AA26" s="40">
        <f t="shared" si="4"/>
        <v>3799800</v>
      </c>
      <c r="AB26" s="40">
        <f t="shared" si="6"/>
        <v>168880000</v>
      </c>
      <c r="AC26" s="40">
        <f t="shared" si="5"/>
        <v>6333000</v>
      </c>
      <c r="AD26" s="40">
        <f t="shared" si="7"/>
        <v>0</v>
      </c>
      <c r="AE26" s="56">
        <f t="shared" si="8"/>
        <v>212788800</v>
      </c>
      <c r="AF26" s="504">
        <f>AE26+AE27</f>
        <v>394380000</v>
      </c>
      <c r="AG26" s="69"/>
      <c r="AH26" s="166"/>
      <c r="AI26" s="3"/>
      <c r="AJ26" s="4"/>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row>
    <row r="27" spans="1:249" s="2" customFormat="1" ht="33" customHeight="1" x14ac:dyDescent="0.25">
      <c r="A27" s="94">
        <v>5</v>
      </c>
      <c r="B27" s="266" t="s">
        <v>203</v>
      </c>
      <c r="C27" s="251"/>
      <c r="D27" s="251"/>
      <c r="E27" s="231"/>
      <c r="F27" s="97" t="s">
        <v>201</v>
      </c>
      <c r="G27" s="210">
        <v>28</v>
      </c>
      <c r="H27" s="210">
        <v>733</v>
      </c>
      <c r="I27" s="211">
        <v>360.3</v>
      </c>
      <c r="J27" s="213" t="s">
        <v>7</v>
      </c>
      <c r="K27" s="48"/>
      <c r="L27" s="48">
        <f>I27-K27</f>
        <v>360.3</v>
      </c>
      <c r="M27" s="48"/>
      <c r="N27" s="49"/>
      <c r="O27" s="49"/>
      <c r="P27" s="49"/>
      <c r="Q27" s="50">
        <f t="shared" si="0"/>
        <v>360.3</v>
      </c>
      <c r="R27" s="55" t="str">
        <f t="shared" si="1"/>
        <v>LUC</v>
      </c>
      <c r="S27" s="183"/>
      <c r="T27" s="40">
        <v>80000</v>
      </c>
      <c r="U27" s="40">
        <f t="shared" si="2"/>
        <v>28824000</v>
      </c>
      <c r="V27" s="96" t="s">
        <v>64</v>
      </c>
      <c r="W27" s="241" t="s">
        <v>24</v>
      </c>
      <c r="X27" s="242">
        <f t="shared" si="12"/>
        <v>360.3</v>
      </c>
      <c r="Y27" s="41">
        <v>9000</v>
      </c>
      <c r="Z27" s="42">
        <v>1</v>
      </c>
      <c r="AA27" s="40">
        <f t="shared" si="4"/>
        <v>3242700</v>
      </c>
      <c r="AB27" s="40">
        <f t="shared" si="6"/>
        <v>144120000</v>
      </c>
      <c r="AC27" s="40">
        <f t="shared" si="5"/>
        <v>5404500</v>
      </c>
      <c r="AD27" s="40">
        <f t="shared" si="7"/>
        <v>0</v>
      </c>
      <c r="AE27" s="56">
        <f t="shared" si="8"/>
        <v>181591200</v>
      </c>
      <c r="AF27" s="504"/>
      <c r="AG27" s="69" t="s">
        <v>305</v>
      </c>
      <c r="AH27" s="43"/>
      <c r="AI27" s="3"/>
      <c r="AJ27" s="4"/>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row>
    <row r="28" spans="1:249" s="2" customFormat="1" ht="29.25" customHeight="1" x14ac:dyDescent="0.25">
      <c r="A28" s="94">
        <v>6</v>
      </c>
      <c r="B28" s="95" t="s">
        <v>204</v>
      </c>
      <c r="C28" s="246">
        <v>5</v>
      </c>
      <c r="D28" s="246">
        <v>65</v>
      </c>
      <c r="E28" s="216">
        <v>456</v>
      </c>
      <c r="F28" s="214" t="s">
        <v>33</v>
      </c>
      <c r="G28" s="210">
        <v>28</v>
      </c>
      <c r="H28" s="210">
        <v>727</v>
      </c>
      <c r="I28" s="211">
        <v>785.4</v>
      </c>
      <c r="J28" s="213" t="s">
        <v>7</v>
      </c>
      <c r="K28" s="48">
        <v>456</v>
      </c>
      <c r="L28" s="48">
        <f>I28-K28</f>
        <v>329.4</v>
      </c>
      <c r="M28" s="48"/>
      <c r="N28" s="49"/>
      <c r="O28" s="49"/>
      <c r="P28" s="49"/>
      <c r="Q28" s="50">
        <f t="shared" si="0"/>
        <v>785.4</v>
      </c>
      <c r="R28" s="55" t="str">
        <f t="shared" si="1"/>
        <v>LUC</v>
      </c>
      <c r="S28" s="183"/>
      <c r="T28" s="40">
        <v>80000</v>
      </c>
      <c r="U28" s="40">
        <f t="shared" si="2"/>
        <v>62832000</v>
      </c>
      <c r="V28" s="96" t="s">
        <v>64</v>
      </c>
      <c r="W28" s="241" t="s">
        <v>24</v>
      </c>
      <c r="X28" s="242">
        <f t="shared" si="12"/>
        <v>785.4</v>
      </c>
      <c r="Y28" s="41">
        <v>9000</v>
      </c>
      <c r="Z28" s="42">
        <v>1</v>
      </c>
      <c r="AA28" s="40">
        <f t="shared" si="4"/>
        <v>7068600</v>
      </c>
      <c r="AB28" s="40">
        <f t="shared" si="6"/>
        <v>314160000</v>
      </c>
      <c r="AC28" s="40">
        <f t="shared" si="5"/>
        <v>11781000</v>
      </c>
      <c r="AD28" s="40">
        <f t="shared" si="7"/>
        <v>0</v>
      </c>
      <c r="AE28" s="56">
        <f t="shared" si="8"/>
        <v>395841600</v>
      </c>
      <c r="AF28" s="504">
        <f>SUM(AE28:AE30)</f>
        <v>719913600</v>
      </c>
      <c r="AG28" s="69"/>
      <c r="AH28" s="43"/>
      <c r="AI28" s="3"/>
      <c r="AJ28" s="4"/>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row>
    <row r="29" spans="1:249" s="2" customFormat="1" ht="45" x14ac:dyDescent="0.25">
      <c r="A29" s="94">
        <v>6</v>
      </c>
      <c r="B29" s="95" t="s">
        <v>204</v>
      </c>
      <c r="C29" s="246">
        <v>5</v>
      </c>
      <c r="D29" s="246">
        <v>103</v>
      </c>
      <c r="E29" s="247">
        <v>744</v>
      </c>
      <c r="F29" s="215" t="s">
        <v>205</v>
      </c>
      <c r="G29" s="210">
        <v>28</v>
      </c>
      <c r="H29" s="210">
        <v>459</v>
      </c>
      <c r="I29" s="211">
        <v>747.2</v>
      </c>
      <c r="J29" s="213" t="s">
        <v>7</v>
      </c>
      <c r="K29" s="48">
        <v>515.9</v>
      </c>
      <c r="L29" s="48"/>
      <c r="M29" s="48"/>
      <c r="N29" s="49"/>
      <c r="O29" s="49"/>
      <c r="P29" s="49"/>
      <c r="Q29" s="50">
        <f t="shared" si="0"/>
        <v>515.9</v>
      </c>
      <c r="R29" s="55" t="str">
        <f t="shared" si="1"/>
        <v>LUC</v>
      </c>
      <c r="S29" s="183"/>
      <c r="T29" s="40">
        <v>80000</v>
      </c>
      <c r="U29" s="40">
        <f t="shared" si="2"/>
        <v>41272000</v>
      </c>
      <c r="V29" s="96" t="s">
        <v>64</v>
      </c>
      <c r="W29" s="241" t="s">
        <v>24</v>
      </c>
      <c r="X29" s="242">
        <f t="shared" si="12"/>
        <v>515.9</v>
      </c>
      <c r="Y29" s="41">
        <v>9000</v>
      </c>
      <c r="Z29" s="42">
        <v>1</v>
      </c>
      <c r="AA29" s="40">
        <f t="shared" si="4"/>
        <v>4643100</v>
      </c>
      <c r="AB29" s="40">
        <f t="shared" si="6"/>
        <v>206360000</v>
      </c>
      <c r="AC29" s="40">
        <f t="shared" si="5"/>
        <v>7738500</v>
      </c>
      <c r="AD29" s="40">
        <f t="shared" si="7"/>
        <v>0</v>
      </c>
      <c r="AE29" s="56">
        <f t="shared" si="8"/>
        <v>260013600</v>
      </c>
      <c r="AF29" s="504"/>
      <c r="AG29" s="69" t="s">
        <v>206</v>
      </c>
      <c r="AH29" s="43"/>
      <c r="AI29" s="3"/>
      <c r="AJ29" s="4"/>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row>
    <row r="30" spans="1:249" s="2" customFormat="1" ht="45" x14ac:dyDescent="0.25">
      <c r="A30" s="94">
        <v>6</v>
      </c>
      <c r="B30" s="95" t="s">
        <v>204</v>
      </c>
      <c r="C30" s="246"/>
      <c r="D30" s="246"/>
      <c r="E30" s="247"/>
      <c r="F30" s="214" t="s">
        <v>44</v>
      </c>
      <c r="G30" s="210">
        <v>28</v>
      </c>
      <c r="H30" s="210">
        <v>464</v>
      </c>
      <c r="I30" s="211">
        <v>127.1</v>
      </c>
      <c r="J30" s="213" t="s">
        <v>48</v>
      </c>
      <c r="K30" s="48"/>
      <c r="L30" s="48">
        <v>97.8</v>
      </c>
      <c r="M30" s="48"/>
      <c r="N30" s="49"/>
      <c r="O30" s="49">
        <f>I30-L30</f>
        <v>29.299999999999997</v>
      </c>
      <c r="P30" s="49"/>
      <c r="Q30" s="50">
        <f t="shared" si="0"/>
        <v>127.1</v>
      </c>
      <c r="R30" s="55" t="str">
        <f t="shared" si="1"/>
        <v>LUK</v>
      </c>
      <c r="S30" s="183"/>
      <c r="T30" s="40">
        <v>80000</v>
      </c>
      <c r="U30" s="40">
        <f t="shared" si="2"/>
        <v>10168000</v>
      </c>
      <c r="V30" s="96" t="s">
        <v>64</v>
      </c>
      <c r="W30" s="241" t="s">
        <v>24</v>
      </c>
      <c r="X30" s="242">
        <f t="shared" si="12"/>
        <v>127.1</v>
      </c>
      <c r="Y30" s="41">
        <v>9000</v>
      </c>
      <c r="Z30" s="42">
        <v>1</v>
      </c>
      <c r="AA30" s="40">
        <f t="shared" si="4"/>
        <v>1143900</v>
      </c>
      <c r="AB30" s="40">
        <f t="shared" si="6"/>
        <v>50840000</v>
      </c>
      <c r="AC30" s="40">
        <f t="shared" si="5"/>
        <v>1906500</v>
      </c>
      <c r="AD30" s="40">
        <f t="shared" si="7"/>
        <v>0</v>
      </c>
      <c r="AE30" s="56">
        <f t="shared" si="8"/>
        <v>64058400</v>
      </c>
      <c r="AF30" s="504"/>
      <c r="AG30" s="69" t="s">
        <v>429</v>
      </c>
      <c r="AH30" s="43"/>
      <c r="AI30" s="3"/>
      <c r="AJ30" s="4"/>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row>
    <row r="31" spans="1:249" s="2" customFormat="1" ht="33.75" customHeight="1" x14ac:dyDescent="0.25">
      <c r="A31" s="94">
        <v>7</v>
      </c>
      <c r="B31" s="95" t="s">
        <v>207</v>
      </c>
      <c r="C31" s="246"/>
      <c r="D31" s="246"/>
      <c r="E31" s="247"/>
      <c r="F31" s="214" t="s">
        <v>33</v>
      </c>
      <c r="G31" s="210">
        <v>29</v>
      </c>
      <c r="H31" s="210">
        <v>47</v>
      </c>
      <c r="I31" s="211">
        <v>193.1</v>
      </c>
      <c r="J31" s="213" t="s">
        <v>7</v>
      </c>
      <c r="K31" s="48"/>
      <c r="L31" s="48">
        <v>193.1</v>
      </c>
      <c r="M31" s="48"/>
      <c r="N31" s="49"/>
      <c r="O31" s="49"/>
      <c r="P31" s="49"/>
      <c r="Q31" s="50">
        <f t="shared" si="0"/>
        <v>193.1</v>
      </c>
      <c r="R31" s="55" t="str">
        <f t="shared" si="1"/>
        <v>LUC</v>
      </c>
      <c r="S31" s="182"/>
      <c r="T31" s="40">
        <v>80000</v>
      </c>
      <c r="U31" s="40">
        <f t="shared" si="2"/>
        <v>15448000</v>
      </c>
      <c r="V31" s="96" t="s">
        <v>64</v>
      </c>
      <c r="W31" s="241" t="s">
        <v>24</v>
      </c>
      <c r="X31" s="242">
        <f t="shared" si="12"/>
        <v>193.1</v>
      </c>
      <c r="Y31" s="41">
        <v>9000</v>
      </c>
      <c r="Z31" s="42">
        <v>1</v>
      </c>
      <c r="AA31" s="40">
        <f t="shared" si="4"/>
        <v>1737900</v>
      </c>
      <c r="AB31" s="40">
        <f t="shared" si="6"/>
        <v>77240000</v>
      </c>
      <c r="AC31" s="40">
        <f t="shared" si="5"/>
        <v>2896500</v>
      </c>
      <c r="AD31" s="40">
        <f t="shared" si="7"/>
        <v>0</v>
      </c>
      <c r="AE31" s="56">
        <f t="shared" si="8"/>
        <v>97322400</v>
      </c>
      <c r="AF31" s="504">
        <f>SUM(AE31:AE37)</f>
        <v>483100720</v>
      </c>
      <c r="AG31" s="6" t="s">
        <v>115</v>
      </c>
      <c r="AH31" s="43"/>
      <c r="AI31" s="3"/>
      <c r="AJ31" s="4"/>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row>
    <row r="32" spans="1:249" s="2" customFormat="1" ht="45" x14ac:dyDescent="0.25">
      <c r="A32" s="94">
        <v>7</v>
      </c>
      <c r="B32" s="95" t="s">
        <v>207</v>
      </c>
      <c r="C32" s="246">
        <v>5</v>
      </c>
      <c r="D32" s="246">
        <v>131</v>
      </c>
      <c r="E32" s="247">
        <v>168</v>
      </c>
      <c r="F32" s="215" t="s">
        <v>230</v>
      </c>
      <c r="G32" s="210">
        <v>28</v>
      </c>
      <c r="H32" s="210">
        <v>467</v>
      </c>
      <c r="I32" s="211">
        <v>272.5</v>
      </c>
      <c r="J32" s="213" t="s">
        <v>48</v>
      </c>
      <c r="K32" s="48">
        <v>110.6</v>
      </c>
      <c r="L32" s="48"/>
      <c r="M32" s="48"/>
      <c r="N32" s="49"/>
      <c r="O32" s="49"/>
      <c r="P32" s="49"/>
      <c r="Q32" s="50">
        <f t="shared" si="0"/>
        <v>110.6</v>
      </c>
      <c r="R32" s="55" t="str">
        <f t="shared" si="1"/>
        <v>LUK</v>
      </c>
      <c r="S32" s="182"/>
      <c r="T32" s="40">
        <v>80000</v>
      </c>
      <c r="U32" s="40">
        <f t="shared" si="2"/>
        <v>8848000</v>
      </c>
      <c r="V32" s="96" t="s">
        <v>64</v>
      </c>
      <c r="W32" s="241" t="s">
        <v>24</v>
      </c>
      <c r="X32" s="242">
        <f t="shared" si="12"/>
        <v>110.6</v>
      </c>
      <c r="Y32" s="41">
        <v>9000</v>
      </c>
      <c r="Z32" s="42">
        <v>1</v>
      </c>
      <c r="AA32" s="40">
        <f t="shared" si="4"/>
        <v>995400</v>
      </c>
      <c r="AB32" s="40">
        <f t="shared" si="6"/>
        <v>44240000</v>
      </c>
      <c r="AC32" s="40">
        <f t="shared" si="5"/>
        <v>1659000</v>
      </c>
      <c r="AD32" s="40">
        <f t="shared" si="7"/>
        <v>0</v>
      </c>
      <c r="AE32" s="56">
        <f t="shared" si="8"/>
        <v>55742400</v>
      </c>
      <c r="AF32" s="504"/>
      <c r="AG32" s="69" t="s">
        <v>209</v>
      </c>
      <c r="AH32" s="43"/>
      <c r="AI32" s="3"/>
      <c r="AJ32" s="4"/>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row>
    <row r="33" spans="1:249" s="2" customFormat="1" ht="38.25" x14ac:dyDescent="0.25">
      <c r="A33" s="94">
        <v>7</v>
      </c>
      <c r="B33" s="95" t="s">
        <v>207</v>
      </c>
      <c r="C33" s="246">
        <v>5</v>
      </c>
      <c r="D33" s="246">
        <v>101</v>
      </c>
      <c r="E33" s="247">
        <v>216</v>
      </c>
      <c r="F33" s="215" t="s">
        <v>119</v>
      </c>
      <c r="G33" s="210">
        <v>28</v>
      </c>
      <c r="H33" s="210">
        <v>614</v>
      </c>
      <c r="I33" s="211">
        <v>290.7</v>
      </c>
      <c r="J33" s="213" t="s">
        <v>48</v>
      </c>
      <c r="K33" s="48">
        <v>216</v>
      </c>
      <c r="L33" s="48">
        <f>I33-K33</f>
        <v>74.699999999999989</v>
      </c>
      <c r="M33" s="48"/>
      <c r="N33" s="49"/>
      <c r="O33" s="49"/>
      <c r="P33" s="49"/>
      <c r="Q33" s="50">
        <f t="shared" si="0"/>
        <v>290.7</v>
      </c>
      <c r="R33" s="55" t="str">
        <f t="shared" si="1"/>
        <v>LUK</v>
      </c>
      <c r="S33" s="183"/>
      <c r="T33" s="40">
        <v>80000</v>
      </c>
      <c r="U33" s="40">
        <f t="shared" si="2"/>
        <v>23256000</v>
      </c>
      <c r="V33" s="99" t="s">
        <v>319</v>
      </c>
      <c r="W33" s="241" t="s">
        <v>61</v>
      </c>
      <c r="X33" s="242">
        <v>34</v>
      </c>
      <c r="Y33" s="41">
        <v>163000</v>
      </c>
      <c r="Z33" s="42">
        <v>0.8</v>
      </c>
      <c r="AA33" s="40">
        <f t="shared" si="4"/>
        <v>4433600</v>
      </c>
      <c r="AB33" s="40">
        <f t="shared" si="6"/>
        <v>116280000</v>
      </c>
      <c r="AC33" s="40">
        <f t="shared" si="5"/>
        <v>4360500</v>
      </c>
      <c r="AD33" s="40">
        <f t="shared" si="7"/>
        <v>0</v>
      </c>
      <c r="AE33" s="56">
        <f t="shared" si="8"/>
        <v>148330100</v>
      </c>
      <c r="AF33" s="504"/>
      <c r="AG33" s="6"/>
      <c r="AH33" s="43"/>
      <c r="AI33" s="3"/>
      <c r="AJ33" s="4"/>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row>
    <row r="34" spans="1:249" s="2" customFormat="1" ht="54.75" customHeight="1" x14ac:dyDescent="0.25">
      <c r="A34" s="94">
        <v>7</v>
      </c>
      <c r="B34" s="95" t="s">
        <v>207</v>
      </c>
      <c r="C34" s="246"/>
      <c r="D34" s="246"/>
      <c r="E34" s="247"/>
      <c r="F34" s="215" t="s">
        <v>119</v>
      </c>
      <c r="G34" s="210">
        <v>28</v>
      </c>
      <c r="H34" s="210">
        <v>614</v>
      </c>
      <c r="I34" s="211"/>
      <c r="J34" s="213"/>
      <c r="K34" s="48"/>
      <c r="L34" s="48"/>
      <c r="M34" s="48"/>
      <c r="N34" s="49"/>
      <c r="O34" s="49"/>
      <c r="P34" s="49"/>
      <c r="Q34" s="50"/>
      <c r="R34" s="55"/>
      <c r="S34" s="183"/>
      <c r="T34" s="40"/>
      <c r="U34" s="40"/>
      <c r="V34" s="99" t="s">
        <v>320</v>
      </c>
      <c r="W34" s="241" t="s">
        <v>61</v>
      </c>
      <c r="X34" s="242">
        <f>58-34</f>
        <v>24</v>
      </c>
      <c r="Y34" s="41">
        <v>123000</v>
      </c>
      <c r="Z34" s="42">
        <v>0.8</v>
      </c>
      <c r="AA34" s="40">
        <f t="shared" si="4"/>
        <v>2361600</v>
      </c>
      <c r="AB34" s="40">
        <f t="shared" si="6"/>
        <v>0</v>
      </c>
      <c r="AC34" s="40">
        <f t="shared" si="5"/>
        <v>0</v>
      </c>
      <c r="AD34" s="40">
        <f t="shared" si="7"/>
        <v>0</v>
      </c>
      <c r="AE34" s="56">
        <f t="shared" si="8"/>
        <v>2361600</v>
      </c>
      <c r="AF34" s="504"/>
      <c r="AG34" s="6"/>
      <c r="AH34" s="43"/>
      <c r="AI34" s="3"/>
      <c r="AJ34" s="4"/>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row>
    <row r="35" spans="1:249" s="2" customFormat="1" ht="91.5" customHeight="1" x14ac:dyDescent="0.25">
      <c r="A35" s="94">
        <v>7</v>
      </c>
      <c r="B35" s="95" t="s">
        <v>207</v>
      </c>
      <c r="C35" s="246"/>
      <c r="D35" s="246"/>
      <c r="E35" s="247"/>
      <c r="F35" s="215" t="s">
        <v>119</v>
      </c>
      <c r="G35" s="210">
        <v>28</v>
      </c>
      <c r="H35" s="210">
        <v>614</v>
      </c>
      <c r="I35" s="211"/>
      <c r="J35" s="213"/>
      <c r="K35" s="48"/>
      <c r="L35" s="48"/>
      <c r="M35" s="48"/>
      <c r="N35" s="49"/>
      <c r="O35" s="49"/>
      <c r="P35" s="49"/>
      <c r="Q35" s="50"/>
      <c r="R35" s="55"/>
      <c r="S35" s="183"/>
      <c r="T35" s="40"/>
      <c r="U35" s="40"/>
      <c r="V35" s="99" t="s">
        <v>321</v>
      </c>
      <c r="W35" s="241" t="s">
        <v>61</v>
      </c>
      <c r="X35" s="242">
        <f>120-24</f>
        <v>96</v>
      </c>
      <c r="Y35" s="174">
        <f>118000*30%</f>
        <v>35400</v>
      </c>
      <c r="Z35" s="178">
        <v>0.8</v>
      </c>
      <c r="AA35" s="40">
        <f t="shared" si="4"/>
        <v>2718720</v>
      </c>
      <c r="AB35" s="40">
        <f t="shared" si="6"/>
        <v>0</v>
      </c>
      <c r="AC35" s="40">
        <f t="shared" si="5"/>
        <v>0</v>
      </c>
      <c r="AD35" s="40">
        <f t="shared" si="7"/>
        <v>0</v>
      </c>
      <c r="AE35" s="56">
        <f t="shared" si="8"/>
        <v>2718720</v>
      </c>
      <c r="AF35" s="504"/>
      <c r="AG35" s="264" t="s">
        <v>307</v>
      </c>
      <c r="AH35" s="43">
        <f>96*35400*80%</f>
        <v>2718720</v>
      </c>
      <c r="AI35" s="3"/>
      <c r="AJ35" s="4"/>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row>
    <row r="36" spans="1:249" s="2" customFormat="1" ht="66.75" customHeight="1" x14ac:dyDescent="0.25">
      <c r="A36" s="94">
        <v>7</v>
      </c>
      <c r="B36" s="95" t="s">
        <v>207</v>
      </c>
      <c r="C36" s="246">
        <v>5</v>
      </c>
      <c r="D36" s="246">
        <v>64</v>
      </c>
      <c r="E36" s="216">
        <v>288</v>
      </c>
      <c r="F36" s="214" t="s">
        <v>33</v>
      </c>
      <c r="G36" s="210">
        <v>28</v>
      </c>
      <c r="H36" s="210">
        <v>784</v>
      </c>
      <c r="I36" s="211">
        <v>876.3</v>
      </c>
      <c r="J36" s="213" t="s">
        <v>7</v>
      </c>
      <c r="K36" s="48">
        <v>288</v>
      </c>
      <c r="L36" s="48">
        <f>350.5-288</f>
        <v>62.5</v>
      </c>
      <c r="M36" s="48"/>
      <c r="N36" s="49"/>
      <c r="O36" s="49"/>
      <c r="P36" s="49"/>
      <c r="Q36" s="50">
        <f t="shared" ref="Q36" si="13">K36+L36+M36+N36+O36+P36</f>
        <v>350.5</v>
      </c>
      <c r="R36" s="55" t="str">
        <f t="shared" ref="R36" si="14">J36</f>
        <v>LUC</v>
      </c>
      <c r="S36" s="183"/>
      <c r="T36" s="40">
        <v>80000</v>
      </c>
      <c r="U36" s="40">
        <f t="shared" ref="U36" si="15">(K36+L36+N36+O36)*T36</f>
        <v>28040000</v>
      </c>
      <c r="V36" s="99" t="s">
        <v>259</v>
      </c>
      <c r="W36" s="241" t="s">
        <v>61</v>
      </c>
      <c r="X36" s="242">
        <v>70</v>
      </c>
      <c r="Y36" s="267">
        <v>34000</v>
      </c>
      <c r="Z36" s="178">
        <v>0.8</v>
      </c>
      <c r="AA36" s="40">
        <f t="shared" si="4"/>
        <v>1904000</v>
      </c>
      <c r="AB36" s="40">
        <f t="shared" si="6"/>
        <v>140200000</v>
      </c>
      <c r="AC36" s="40">
        <f t="shared" si="5"/>
        <v>5257500</v>
      </c>
      <c r="AD36" s="40">
        <f t="shared" si="7"/>
        <v>0</v>
      </c>
      <c r="AE36" s="56">
        <f t="shared" si="8"/>
        <v>175401500</v>
      </c>
      <c r="AF36" s="504"/>
      <c r="AG36" s="69" t="s">
        <v>211</v>
      </c>
      <c r="AH36" s="43">
        <f>Q36*9000</f>
        <v>3154500</v>
      </c>
      <c r="AI36" s="3"/>
      <c r="AJ36" s="4"/>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row>
    <row r="37" spans="1:249" s="2" customFormat="1" ht="93.75" customHeight="1" x14ac:dyDescent="0.25">
      <c r="A37" s="94">
        <v>7</v>
      </c>
      <c r="B37" s="95" t="s">
        <v>207</v>
      </c>
      <c r="C37" s="246"/>
      <c r="D37" s="246"/>
      <c r="E37" s="216"/>
      <c r="F37" s="214" t="s">
        <v>33</v>
      </c>
      <c r="G37" s="210">
        <v>28</v>
      </c>
      <c r="H37" s="210">
        <v>784</v>
      </c>
      <c r="I37" s="211"/>
      <c r="J37" s="213"/>
      <c r="K37" s="48"/>
      <c r="L37" s="48"/>
      <c r="M37" s="48"/>
      <c r="N37" s="49"/>
      <c r="O37" s="49"/>
      <c r="P37" s="49"/>
      <c r="Q37" s="50"/>
      <c r="R37" s="55">
        <f t="shared" si="1"/>
        <v>0</v>
      </c>
      <c r="S37" s="183"/>
      <c r="T37" s="40"/>
      <c r="U37" s="40">
        <f t="shared" si="2"/>
        <v>0</v>
      </c>
      <c r="V37" s="99" t="s">
        <v>259</v>
      </c>
      <c r="W37" s="241" t="s">
        <v>61</v>
      </c>
      <c r="X37" s="242">
        <v>150</v>
      </c>
      <c r="Y37" s="174">
        <f>34000*30%</f>
        <v>10200</v>
      </c>
      <c r="Z37" s="178">
        <v>0.8</v>
      </c>
      <c r="AA37" s="40">
        <f t="shared" si="4"/>
        <v>1224000</v>
      </c>
      <c r="AB37" s="40">
        <f t="shared" si="6"/>
        <v>0</v>
      </c>
      <c r="AC37" s="40">
        <f t="shared" si="5"/>
        <v>0</v>
      </c>
      <c r="AD37" s="40">
        <f t="shared" si="7"/>
        <v>0</v>
      </c>
      <c r="AE37" s="56">
        <f t="shared" si="8"/>
        <v>1224000</v>
      </c>
      <c r="AF37" s="504"/>
      <c r="AG37" s="264" t="s">
        <v>262</v>
      </c>
      <c r="AH37" s="43">
        <f>Q37*9000</f>
        <v>0</v>
      </c>
      <c r="AI37" s="3"/>
      <c r="AJ37" s="4"/>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row>
    <row r="38" spans="1:249" s="2" customFormat="1" ht="72.75" customHeight="1" x14ac:dyDescent="0.25">
      <c r="A38" s="94">
        <v>8</v>
      </c>
      <c r="B38" s="266" t="s">
        <v>208</v>
      </c>
      <c r="C38" s="246">
        <v>5</v>
      </c>
      <c r="D38" s="246">
        <v>64</v>
      </c>
      <c r="E38" s="247">
        <v>432</v>
      </c>
      <c r="F38" s="214" t="s">
        <v>33</v>
      </c>
      <c r="G38" s="210">
        <v>28</v>
      </c>
      <c r="H38" s="210">
        <v>784</v>
      </c>
      <c r="I38" s="211">
        <v>876.3</v>
      </c>
      <c r="J38" s="213" t="s">
        <v>7</v>
      </c>
      <c r="K38" s="48">
        <v>432</v>
      </c>
      <c r="L38" s="48">
        <f>525.8-432</f>
        <v>93.799999999999955</v>
      </c>
      <c r="M38" s="48"/>
      <c r="N38" s="49"/>
      <c r="O38" s="49"/>
      <c r="P38" s="49"/>
      <c r="Q38" s="50">
        <f t="shared" si="0"/>
        <v>525.79999999999995</v>
      </c>
      <c r="R38" s="55" t="str">
        <f t="shared" si="1"/>
        <v>LUC</v>
      </c>
      <c r="S38" s="183"/>
      <c r="T38" s="40">
        <v>80000</v>
      </c>
      <c r="U38" s="40">
        <f t="shared" si="2"/>
        <v>42064000</v>
      </c>
      <c r="V38" s="99" t="s">
        <v>259</v>
      </c>
      <c r="W38" s="241" t="s">
        <v>61</v>
      </c>
      <c r="X38" s="242">
        <v>105</v>
      </c>
      <c r="Y38" s="267">
        <v>34000</v>
      </c>
      <c r="Z38" s="178">
        <v>0.8</v>
      </c>
      <c r="AA38" s="71">
        <f t="shared" si="4"/>
        <v>2856000</v>
      </c>
      <c r="AB38" s="71">
        <f t="shared" si="6"/>
        <v>210320000</v>
      </c>
      <c r="AC38" s="71">
        <f t="shared" si="5"/>
        <v>7886999.9999999991</v>
      </c>
      <c r="AD38" s="40">
        <f t="shared" si="7"/>
        <v>0</v>
      </c>
      <c r="AE38" s="175">
        <f t="shared" si="8"/>
        <v>263127000</v>
      </c>
      <c r="AF38" s="506">
        <f>SUM(AE38:AE39)</f>
        <v>265371000</v>
      </c>
      <c r="AG38" s="69" t="s">
        <v>210</v>
      </c>
      <c r="AH38" s="176">
        <f>528.5*9000</f>
        <v>4756500</v>
      </c>
      <c r="AI38" s="177"/>
      <c r="AJ38" s="4"/>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row>
    <row r="39" spans="1:249" s="2" customFormat="1" ht="94.5" customHeight="1" x14ac:dyDescent="0.25">
      <c r="A39" s="94">
        <v>8</v>
      </c>
      <c r="B39" s="266" t="s">
        <v>208</v>
      </c>
      <c r="C39" s="246"/>
      <c r="D39" s="246"/>
      <c r="E39" s="247"/>
      <c r="F39" s="214" t="s">
        <v>33</v>
      </c>
      <c r="G39" s="210">
        <v>28</v>
      </c>
      <c r="H39" s="210">
        <v>784</v>
      </c>
      <c r="I39" s="211"/>
      <c r="J39" s="212"/>
      <c r="K39" s="48"/>
      <c r="L39" s="48"/>
      <c r="M39" s="48"/>
      <c r="N39" s="49"/>
      <c r="O39" s="49"/>
      <c r="P39" s="49"/>
      <c r="Q39" s="50">
        <f t="shared" si="0"/>
        <v>0</v>
      </c>
      <c r="R39" s="55">
        <f t="shared" si="1"/>
        <v>0</v>
      </c>
      <c r="S39" s="183"/>
      <c r="T39" s="40">
        <v>80000</v>
      </c>
      <c r="U39" s="40">
        <f t="shared" si="2"/>
        <v>0</v>
      </c>
      <c r="V39" s="99" t="s">
        <v>259</v>
      </c>
      <c r="W39" s="241" t="s">
        <v>61</v>
      </c>
      <c r="X39" s="242">
        <f>600-70-150-105</f>
        <v>275</v>
      </c>
      <c r="Y39" s="174">
        <f>34000*30%</f>
        <v>10200</v>
      </c>
      <c r="Z39" s="178">
        <v>0.8</v>
      </c>
      <c r="AA39" s="71">
        <f t="shared" si="4"/>
        <v>2244000</v>
      </c>
      <c r="AB39" s="71">
        <f t="shared" si="6"/>
        <v>0</v>
      </c>
      <c r="AC39" s="71">
        <f t="shared" si="5"/>
        <v>0</v>
      </c>
      <c r="AD39" s="40">
        <f t="shared" si="7"/>
        <v>0</v>
      </c>
      <c r="AE39" s="175">
        <f t="shared" si="8"/>
        <v>2244000</v>
      </c>
      <c r="AF39" s="506"/>
      <c r="AG39" s="264" t="s">
        <v>262</v>
      </c>
      <c r="AH39" s="176" t="s">
        <v>270</v>
      </c>
      <c r="AI39" s="177"/>
      <c r="AJ39" s="4"/>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row>
    <row r="40" spans="1:249" s="2" customFormat="1" ht="39" customHeight="1" x14ac:dyDescent="0.25">
      <c r="A40" s="94">
        <v>9</v>
      </c>
      <c r="B40" s="266" t="s">
        <v>213</v>
      </c>
      <c r="C40" s="246">
        <v>5</v>
      </c>
      <c r="D40" s="246">
        <v>70</v>
      </c>
      <c r="E40" s="247">
        <v>600</v>
      </c>
      <c r="F40" s="214" t="s">
        <v>33</v>
      </c>
      <c r="G40" s="210">
        <v>29</v>
      </c>
      <c r="H40" s="210">
        <v>14</v>
      </c>
      <c r="I40" s="211">
        <v>668.6</v>
      </c>
      <c r="J40" s="213" t="s">
        <v>7</v>
      </c>
      <c r="K40" s="48">
        <v>600</v>
      </c>
      <c r="L40" s="48">
        <v>68.599999999999994</v>
      </c>
      <c r="M40" s="48"/>
      <c r="N40" s="49"/>
      <c r="O40" s="49"/>
      <c r="P40" s="49"/>
      <c r="Q40" s="50">
        <f t="shared" si="0"/>
        <v>668.6</v>
      </c>
      <c r="R40" s="55" t="str">
        <f t="shared" si="1"/>
        <v>LUC</v>
      </c>
      <c r="S40" s="183"/>
      <c r="T40" s="40">
        <v>80000</v>
      </c>
      <c r="U40" s="40">
        <f t="shared" si="2"/>
        <v>53488000</v>
      </c>
      <c r="V40" s="96" t="s">
        <v>64</v>
      </c>
      <c r="W40" s="241" t="s">
        <v>24</v>
      </c>
      <c r="X40" s="242">
        <f t="shared" ref="X40:X45" si="16">Q40</f>
        <v>668.6</v>
      </c>
      <c r="Y40" s="41">
        <v>9000</v>
      </c>
      <c r="Z40" s="42">
        <v>1</v>
      </c>
      <c r="AA40" s="40">
        <f t="shared" si="4"/>
        <v>6017400</v>
      </c>
      <c r="AB40" s="40">
        <f t="shared" si="6"/>
        <v>267440000</v>
      </c>
      <c r="AC40" s="40">
        <f t="shared" si="5"/>
        <v>10029000</v>
      </c>
      <c r="AD40" s="40">
        <f t="shared" si="7"/>
        <v>0</v>
      </c>
      <c r="AE40" s="56">
        <f t="shared" si="8"/>
        <v>336974400</v>
      </c>
      <c r="AF40" s="504">
        <f>SUM(AE40:AE42)</f>
        <v>619063200</v>
      </c>
      <c r="AG40" s="6"/>
      <c r="AH40" s="43"/>
      <c r="AI40" s="3"/>
      <c r="AJ40" s="4"/>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row>
    <row r="41" spans="1:249" s="2" customFormat="1" ht="38.25" customHeight="1" x14ac:dyDescent="0.25">
      <c r="A41" s="94">
        <v>9</v>
      </c>
      <c r="B41" s="266" t="s">
        <v>213</v>
      </c>
      <c r="C41" s="246">
        <v>5</v>
      </c>
      <c r="D41" s="246">
        <v>33</v>
      </c>
      <c r="E41" s="247">
        <v>480</v>
      </c>
      <c r="F41" s="214" t="s">
        <v>33</v>
      </c>
      <c r="G41" s="210">
        <v>29</v>
      </c>
      <c r="H41" s="210">
        <v>41</v>
      </c>
      <c r="I41" s="211">
        <v>2954.6</v>
      </c>
      <c r="J41" s="213" t="s">
        <v>53</v>
      </c>
      <c r="K41" s="48">
        <v>480</v>
      </c>
      <c r="L41" s="48"/>
      <c r="M41" s="48"/>
      <c r="N41" s="49"/>
      <c r="O41" s="49"/>
      <c r="P41" s="49"/>
      <c r="Q41" s="50">
        <f t="shared" si="0"/>
        <v>480</v>
      </c>
      <c r="R41" s="55" t="s">
        <v>7</v>
      </c>
      <c r="S41" s="183"/>
      <c r="T41" s="40">
        <v>80000</v>
      </c>
      <c r="U41" s="40">
        <f t="shared" si="2"/>
        <v>38400000</v>
      </c>
      <c r="V41" s="96" t="s">
        <v>64</v>
      </c>
      <c r="W41" s="241" t="s">
        <v>24</v>
      </c>
      <c r="X41" s="242">
        <f t="shared" si="16"/>
        <v>480</v>
      </c>
      <c r="Y41" s="41">
        <v>9000</v>
      </c>
      <c r="Z41" s="42">
        <v>1</v>
      </c>
      <c r="AA41" s="40">
        <f t="shared" si="4"/>
        <v>4320000</v>
      </c>
      <c r="AB41" s="40">
        <f t="shared" si="6"/>
        <v>192000000</v>
      </c>
      <c r="AC41" s="40">
        <f t="shared" si="5"/>
        <v>7200000</v>
      </c>
      <c r="AD41" s="40">
        <f t="shared" si="7"/>
        <v>0</v>
      </c>
      <c r="AE41" s="56">
        <f t="shared" si="8"/>
        <v>241920000</v>
      </c>
      <c r="AF41" s="504"/>
      <c r="AG41" s="170" t="s">
        <v>62</v>
      </c>
      <c r="AH41" s="43"/>
      <c r="AI41" s="3"/>
      <c r="AJ41" s="4"/>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row>
    <row r="42" spans="1:249" s="2" customFormat="1" ht="71.25" customHeight="1" x14ac:dyDescent="0.25">
      <c r="A42" s="94">
        <v>9</v>
      </c>
      <c r="B42" s="266" t="s">
        <v>213</v>
      </c>
      <c r="C42" s="246">
        <v>5</v>
      </c>
      <c r="D42" s="246">
        <v>96</v>
      </c>
      <c r="E42" s="247">
        <v>24</v>
      </c>
      <c r="F42" s="214" t="s">
        <v>42</v>
      </c>
      <c r="G42" s="210">
        <v>28</v>
      </c>
      <c r="H42" s="210">
        <v>853</v>
      </c>
      <c r="I42" s="211">
        <v>82.8</v>
      </c>
      <c r="J42" s="213" t="s">
        <v>7</v>
      </c>
      <c r="K42" s="48">
        <f>24-3.1</f>
        <v>20.9</v>
      </c>
      <c r="L42" s="48">
        <f>I42-K42-3.1</f>
        <v>58.8</v>
      </c>
      <c r="M42" s="48"/>
      <c r="N42" s="49"/>
      <c r="O42" s="49"/>
      <c r="P42" s="49"/>
      <c r="Q42" s="50">
        <f t="shared" si="0"/>
        <v>79.699999999999989</v>
      </c>
      <c r="R42" s="55" t="str">
        <f t="shared" si="1"/>
        <v>LUC</v>
      </c>
      <c r="S42" s="183">
        <v>3.1</v>
      </c>
      <c r="T42" s="40">
        <v>80000</v>
      </c>
      <c r="U42" s="40">
        <f t="shared" si="2"/>
        <v>6375999.9999999991</v>
      </c>
      <c r="V42" s="96" t="s">
        <v>64</v>
      </c>
      <c r="W42" s="241" t="s">
        <v>24</v>
      </c>
      <c r="X42" s="242">
        <f t="shared" si="16"/>
        <v>79.699999999999989</v>
      </c>
      <c r="Y42" s="41">
        <v>9000</v>
      </c>
      <c r="Z42" s="42">
        <v>1</v>
      </c>
      <c r="AA42" s="40">
        <f t="shared" si="4"/>
        <v>717299.99999999988</v>
      </c>
      <c r="AB42" s="40">
        <f t="shared" si="6"/>
        <v>31879999.999999996</v>
      </c>
      <c r="AC42" s="40">
        <f t="shared" si="5"/>
        <v>1195499.9999999998</v>
      </c>
      <c r="AD42" s="40">
        <f t="shared" si="7"/>
        <v>0</v>
      </c>
      <c r="AE42" s="56">
        <f t="shared" si="8"/>
        <v>40168799.999999993</v>
      </c>
      <c r="AF42" s="504"/>
      <c r="AG42" s="44" t="s">
        <v>125</v>
      </c>
      <c r="AH42" s="43"/>
      <c r="AI42" s="3"/>
      <c r="AJ42" s="4"/>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row>
    <row r="43" spans="1:249" s="2" customFormat="1" ht="39" customHeight="1" x14ac:dyDescent="0.25">
      <c r="A43" s="94">
        <v>10</v>
      </c>
      <c r="B43" s="95" t="s">
        <v>214</v>
      </c>
      <c r="C43" s="66">
        <v>5</v>
      </c>
      <c r="D43" s="66">
        <v>65</v>
      </c>
      <c r="E43" s="67">
        <v>1512</v>
      </c>
      <c r="F43" s="66" t="s">
        <v>33</v>
      </c>
      <c r="G43" s="268">
        <v>29</v>
      </c>
      <c r="H43" s="268">
        <v>55</v>
      </c>
      <c r="I43" s="269">
        <v>1415.1</v>
      </c>
      <c r="J43" s="270" t="s">
        <v>7</v>
      </c>
      <c r="K43" s="48">
        <v>1415.1</v>
      </c>
      <c r="L43" s="48"/>
      <c r="M43" s="48"/>
      <c r="N43" s="49"/>
      <c r="O43" s="49"/>
      <c r="P43" s="49"/>
      <c r="Q43" s="50">
        <f t="shared" si="0"/>
        <v>1415.1</v>
      </c>
      <c r="R43" s="55" t="str">
        <f t="shared" si="1"/>
        <v>LUC</v>
      </c>
      <c r="S43" s="182"/>
      <c r="T43" s="40">
        <v>80000</v>
      </c>
      <c r="U43" s="40">
        <f>(K43+L43+N43+O43)*T43</f>
        <v>113208000</v>
      </c>
      <c r="V43" s="96" t="s">
        <v>64</v>
      </c>
      <c r="W43" s="241" t="s">
        <v>24</v>
      </c>
      <c r="X43" s="242">
        <f t="shared" si="16"/>
        <v>1415.1</v>
      </c>
      <c r="Y43" s="41">
        <v>9000</v>
      </c>
      <c r="Z43" s="42">
        <v>1</v>
      </c>
      <c r="AA43" s="40">
        <f t="shared" si="4"/>
        <v>12735900</v>
      </c>
      <c r="AB43" s="40">
        <f t="shared" si="6"/>
        <v>566040000</v>
      </c>
      <c r="AC43" s="40">
        <f t="shared" si="5"/>
        <v>21226500</v>
      </c>
      <c r="AD43" s="40">
        <f t="shared" si="7"/>
        <v>0</v>
      </c>
      <c r="AE43" s="56">
        <f t="shared" si="8"/>
        <v>713210400</v>
      </c>
      <c r="AF43" s="56">
        <f>AE43</f>
        <v>713210400</v>
      </c>
      <c r="AG43" s="6"/>
      <c r="AH43" s="43"/>
      <c r="AI43" s="3"/>
      <c r="AJ43" s="4"/>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row>
    <row r="44" spans="1:249" s="2" customFormat="1" ht="34.5" customHeight="1" x14ac:dyDescent="0.25">
      <c r="A44" s="94">
        <v>11</v>
      </c>
      <c r="B44" s="95" t="s">
        <v>215</v>
      </c>
      <c r="C44" s="246"/>
      <c r="D44" s="246"/>
      <c r="E44" s="247"/>
      <c r="F44" s="215" t="s">
        <v>46</v>
      </c>
      <c r="G44" s="210">
        <v>28</v>
      </c>
      <c r="H44" s="210">
        <v>726</v>
      </c>
      <c r="I44" s="211">
        <v>293.60000000000002</v>
      </c>
      <c r="J44" s="213" t="s">
        <v>43</v>
      </c>
      <c r="K44" s="48"/>
      <c r="L44" s="48">
        <v>293.60000000000002</v>
      </c>
      <c r="M44" s="48"/>
      <c r="N44" s="49"/>
      <c r="O44" s="49"/>
      <c r="P44" s="49"/>
      <c r="Q44" s="50">
        <f t="shared" si="0"/>
        <v>293.60000000000002</v>
      </c>
      <c r="R44" s="55" t="s">
        <v>86</v>
      </c>
      <c r="S44" s="182"/>
      <c r="T44" s="40">
        <v>80000</v>
      </c>
      <c r="U44" s="40">
        <f>(K44+L44+N44+O44)*T44</f>
        <v>23488000</v>
      </c>
      <c r="V44" s="96" t="s">
        <v>64</v>
      </c>
      <c r="W44" s="241" t="s">
        <v>24</v>
      </c>
      <c r="X44" s="242">
        <f t="shared" si="16"/>
        <v>293.60000000000002</v>
      </c>
      <c r="Y44" s="41">
        <v>9000</v>
      </c>
      <c r="Z44" s="42">
        <v>1</v>
      </c>
      <c r="AA44" s="40">
        <f t="shared" si="4"/>
        <v>2642400</v>
      </c>
      <c r="AB44" s="40">
        <f t="shared" si="6"/>
        <v>117440000</v>
      </c>
      <c r="AC44" s="40">
        <f t="shared" si="5"/>
        <v>4404000</v>
      </c>
      <c r="AD44" s="40">
        <f t="shared" si="7"/>
        <v>0</v>
      </c>
      <c r="AE44" s="56">
        <f t="shared" si="8"/>
        <v>147974400</v>
      </c>
      <c r="AF44" s="504">
        <f>SUM(AE44:AE45)</f>
        <v>499212000</v>
      </c>
      <c r="AG44" s="44" t="s">
        <v>308</v>
      </c>
      <c r="AH44" s="43"/>
      <c r="AI44" s="3"/>
      <c r="AJ44" s="4"/>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row>
    <row r="45" spans="1:249" s="2" customFormat="1" ht="32.25" customHeight="1" x14ac:dyDescent="0.25">
      <c r="A45" s="94">
        <v>11</v>
      </c>
      <c r="B45" s="95" t="s">
        <v>215</v>
      </c>
      <c r="C45" s="246">
        <v>5</v>
      </c>
      <c r="D45" s="246">
        <v>67</v>
      </c>
      <c r="E45" s="247">
        <v>648</v>
      </c>
      <c r="F45" s="214" t="s">
        <v>33</v>
      </c>
      <c r="G45" s="210">
        <v>29</v>
      </c>
      <c r="H45" s="210">
        <v>27</v>
      </c>
      <c r="I45" s="211">
        <v>696.9</v>
      </c>
      <c r="J45" s="213" t="s">
        <v>7</v>
      </c>
      <c r="K45" s="48">
        <v>648</v>
      </c>
      <c r="L45" s="48">
        <f>I45-K45</f>
        <v>48.899999999999977</v>
      </c>
      <c r="M45" s="48"/>
      <c r="N45" s="49"/>
      <c r="O45" s="49"/>
      <c r="P45" s="49"/>
      <c r="Q45" s="50">
        <f t="shared" si="0"/>
        <v>696.9</v>
      </c>
      <c r="R45" s="55" t="str">
        <f t="shared" si="1"/>
        <v>LUC</v>
      </c>
      <c r="S45" s="182"/>
      <c r="T45" s="40">
        <v>80000</v>
      </c>
      <c r="U45" s="40">
        <f>(K45+L45+N45+O45)*T45</f>
        <v>55752000</v>
      </c>
      <c r="V45" s="96" t="s">
        <v>64</v>
      </c>
      <c r="W45" s="241" t="s">
        <v>24</v>
      </c>
      <c r="X45" s="242">
        <f t="shared" si="16"/>
        <v>696.9</v>
      </c>
      <c r="Y45" s="41">
        <v>9000</v>
      </c>
      <c r="Z45" s="42">
        <v>1</v>
      </c>
      <c r="AA45" s="40">
        <f t="shared" si="4"/>
        <v>6272100</v>
      </c>
      <c r="AB45" s="40">
        <f t="shared" si="6"/>
        <v>278760000</v>
      </c>
      <c r="AC45" s="40">
        <f t="shared" si="5"/>
        <v>10453500</v>
      </c>
      <c r="AD45" s="40">
        <f t="shared" si="7"/>
        <v>0</v>
      </c>
      <c r="AE45" s="56">
        <f t="shared" si="8"/>
        <v>351237600</v>
      </c>
      <c r="AF45" s="504"/>
      <c r="AG45" s="6"/>
      <c r="AH45" s="43"/>
      <c r="AI45" s="3"/>
      <c r="AJ45" s="4"/>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row>
    <row r="46" spans="1:249" s="2" customFormat="1" ht="55.5" customHeight="1" x14ac:dyDescent="0.25">
      <c r="A46" s="94">
        <v>12</v>
      </c>
      <c r="B46" s="95" t="s">
        <v>216</v>
      </c>
      <c r="C46" s="246">
        <v>5</v>
      </c>
      <c r="D46" s="246">
        <v>131</v>
      </c>
      <c r="E46" s="247">
        <v>156</v>
      </c>
      <c r="F46" s="249" t="s">
        <v>44</v>
      </c>
      <c r="G46" s="210">
        <v>28</v>
      </c>
      <c r="H46" s="210">
        <v>547</v>
      </c>
      <c r="I46" s="211">
        <v>157.30000000000001</v>
      </c>
      <c r="J46" s="212" t="s">
        <v>48</v>
      </c>
      <c r="K46" s="48">
        <v>156</v>
      </c>
      <c r="L46" s="48">
        <v>1.3</v>
      </c>
      <c r="M46" s="48"/>
      <c r="N46" s="49"/>
      <c r="O46" s="49"/>
      <c r="P46" s="49"/>
      <c r="Q46" s="50">
        <f t="shared" si="0"/>
        <v>157.30000000000001</v>
      </c>
      <c r="R46" s="55" t="str">
        <f t="shared" si="1"/>
        <v>LUK</v>
      </c>
      <c r="S46" s="183"/>
      <c r="T46" s="40">
        <v>80000</v>
      </c>
      <c r="U46" s="40">
        <f>(K46+L46+N46+O46)*T46</f>
        <v>12584000</v>
      </c>
      <c r="V46" s="271" t="s">
        <v>303</v>
      </c>
      <c r="W46" s="241" t="s">
        <v>61</v>
      </c>
      <c r="X46" s="242">
        <v>20</v>
      </c>
      <c r="Y46" s="41">
        <v>1000000</v>
      </c>
      <c r="Z46" s="42">
        <v>0.8</v>
      </c>
      <c r="AA46" s="40">
        <f t="shared" si="4"/>
        <v>16000000</v>
      </c>
      <c r="AB46" s="40">
        <f t="shared" si="6"/>
        <v>62920000</v>
      </c>
      <c r="AC46" s="40">
        <f t="shared" si="5"/>
        <v>2359500</v>
      </c>
      <c r="AD46" s="40">
        <f t="shared" si="7"/>
        <v>0</v>
      </c>
      <c r="AE46" s="56">
        <f t="shared" si="8"/>
        <v>93863500</v>
      </c>
      <c r="AF46" s="504">
        <f>SUM(AE46:AE48)</f>
        <v>180859100</v>
      </c>
      <c r="AG46" s="164"/>
      <c r="AH46" s="43" t="s">
        <v>260</v>
      </c>
      <c r="AI46" s="3"/>
      <c r="AJ46" s="4"/>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row>
    <row r="47" spans="1:249" s="2" customFormat="1" ht="36" x14ac:dyDescent="0.25">
      <c r="A47" s="94">
        <v>12</v>
      </c>
      <c r="B47" s="95" t="s">
        <v>216</v>
      </c>
      <c r="C47" s="246"/>
      <c r="D47" s="246"/>
      <c r="E47" s="247"/>
      <c r="F47" s="248" t="s">
        <v>44</v>
      </c>
      <c r="G47" s="210">
        <v>28</v>
      </c>
      <c r="H47" s="210">
        <v>607</v>
      </c>
      <c r="I47" s="211">
        <v>171.9</v>
      </c>
      <c r="J47" s="212" t="s">
        <v>48</v>
      </c>
      <c r="K47" s="48"/>
      <c r="L47" s="48">
        <v>171.9</v>
      </c>
      <c r="M47" s="48"/>
      <c r="N47" s="49"/>
      <c r="O47" s="49"/>
      <c r="P47" s="49"/>
      <c r="Q47" s="50">
        <f t="shared" si="0"/>
        <v>171.9</v>
      </c>
      <c r="R47" s="55" t="str">
        <f t="shared" si="1"/>
        <v>LUK</v>
      </c>
      <c r="S47" s="183"/>
      <c r="T47" s="40">
        <v>80000</v>
      </c>
      <c r="U47" s="40">
        <f t="shared" ref="U47:U67" si="17">(K47+L47+N47+O47)*T47</f>
        <v>13752000</v>
      </c>
      <c r="V47" s="96" t="s">
        <v>64</v>
      </c>
      <c r="W47" s="241" t="s">
        <v>24</v>
      </c>
      <c r="X47" s="242">
        <f>171.9-X48</f>
        <v>151.9</v>
      </c>
      <c r="Y47" s="41">
        <v>9000</v>
      </c>
      <c r="Z47" s="42">
        <v>1</v>
      </c>
      <c r="AA47" s="40">
        <f t="shared" si="4"/>
        <v>1367100</v>
      </c>
      <c r="AB47" s="40">
        <f t="shared" si="6"/>
        <v>68760000</v>
      </c>
      <c r="AC47" s="40">
        <f t="shared" si="5"/>
        <v>2578500</v>
      </c>
      <c r="AD47" s="40">
        <f t="shared" si="7"/>
        <v>0</v>
      </c>
      <c r="AE47" s="56">
        <f t="shared" si="8"/>
        <v>86457600</v>
      </c>
      <c r="AF47" s="504"/>
      <c r="AG47" s="69"/>
      <c r="AH47" s="43" t="s">
        <v>261</v>
      </c>
      <c r="AI47" s="3"/>
      <c r="AJ47" s="4"/>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row>
    <row r="48" spans="1:249" s="2" customFormat="1" ht="36" x14ac:dyDescent="0.25">
      <c r="A48" s="94">
        <v>12</v>
      </c>
      <c r="B48" s="95" t="s">
        <v>216</v>
      </c>
      <c r="C48" s="246"/>
      <c r="D48" s="246"/>
      <c r="E48" s="247"/>
      <c r="F48" s="248" t="s">
        <v>44</v>
      </c>
      <c r="G48" s="210">
        <v>28</v>
      </c>
      <c r="H48" s="210">
        <v>607</v>
      </c>
      <c r="I48" s="211"/>
      <c r="J48" s="212"/>
      <c r="K48" s="48"/>
      <c r="L48" s="48"/>
      <c r="M48" s="48"/>
      <c r="N48" s="49"/>
      <c r="O48" s="49"/>
      <c r="P48" s="49"/>
      <c r="Q48" s="50"/>
      <c r="R48" s="55"/>
      <c r="S48" s="183"/>
      <c r="T48" s="40"/>
      <c r="U48" s="40">
        <f t="shared" si="17"/>
        <v>0</v>
      </c>
      <c r="V48" s="96" t="s">
        <v>309</v>
      </c>
      <c r="W48" s="241" t="s">
        <v>24</v>
      </c>
      <c r="X48" s="242">
        <v>20</v>
      </c>
      <c r="Y48" s="41">
        <v>26900</v>
      </c>
      <c r="Z48" s="42">
        <v>1</v>
      </c>
      <c r="AA48" s="40">
        <f t="shared" si="4"/>
        <v>538000</v>
      </c>
      <c r="AB48" s="40">
        <f t="shared" si="6"/>
        <v>0</v>
      </c>
      <c r="AC48" s="40">
        <f t="shared" si="5"/>
        <v>0</v>
      </c>
      <c r="AD48" s="40">
        <f t="shared" si="7"/>
        <v>0</v>
      </c>
      <c r="AE48" s="56">
        <f t="shared" si="8"/>
        <v>538000</v>
      </c>
      <c r="AF48" s="504"/>
      <c r="AG48" s="69"/>
      <c r="AH48" s="43" t="s">
        <v>217</v>
      </c>
      <c r="AI48" s="3"/>
      <c r="AJ48" s="4"/>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row>
    <row r="49" spans="1:249" s="2" customFormat="1" ht="30" customHeight="1" x14ac:dyDescent="0.25">
      <c r="A49" s="94">
        <v>13</v>
      </c>
      <c r="B49" s="95" t="s">
        <v>218</v>
      </c>
      <c r="C49" s="494">
        <v>5</v>
      </c>
      <c r="D49" s="494">
        <v>42</v>
      </c>
      <c r="E49" s="499">
        <v>504</v>
      </c>
      <c r="F49" s="214" t="s">
        <v>33</v>
      </c>
      <c r="G49" s="210">
        <v>29</v>
      </c>
      <c r="H49" s="210">
        <v>38</v>
      </c>
      <c r="I49" s="211">
        <v>368.9</v>
      </c>
      <c r="J49" s="213" t="s">
        <v>7</v>
      </c>
      <c r="K49" s="48">
        <v>368.9</v>
      </c>
      <c r="L49" s="48"/>
      <c r="M49" s="48"/>
      <c r="N49" s="49"/>
      <c r="O49" s="49"/>
      <c r="P49" s="49"/>
      <c r="Q49" s="50">
        <f t="shared" si="0"/>
        <v>368.9</v>
      </c>
      <c r="R49" s="55" t="str">
        <f t="shared" si="1"/>
        <v>LUC</v>
      </c>
      <c r="S49" s="183"/>
      <c r="T49" s="40">
        <v>80000</v>
      </c>
      <c r="U49" s="40">
        <f t="shared" si="17"/>
        <v>29512000</v>
      </c>
      <c r="V49" s="96" t="s">
        <v>64</v>
      </c>
      <c r="W49" s="241" t="s">
        <v>24</v>
      </c>
      <c r="X49" s="242">
        <f t="shared" ref="X49:X54" si="18">Q49</f>
        <v>368.9</v>
      </c>
      <c r="Y49" s="41">
        <v>9000</v>
      </c>
      <c r="Z49" s="42">
        <v>1</v>
      </c>
      <c r="AA49" s="40">
        <f t="shared" si="4"/>
        <v>3320100</v>
      </c>
      <c r="AB49" s="40">
        <f t="shared" si="6"/>
        <v>147560000</v>
      </c>
      <c r="AC49" s="40">
        <f t="shared" si="5"/>
        <v>5533500</v>
      </c>
      <c r="AD49" s="40">
        <f t="shared" si="7"/>
        <v>0</v>
      </c>
      <c r="AE49" s="56">
        <f t="shared" si="8"/>
        <v>185925600</v>
      </c>
      <c r="AF49" s="504">
        <f>SUM(AE49:AE53)</f>
        <v>1085011200</v>
      </c>
      <c r="AG49" s="69"/>
      <c r="AH49" s="43"/>
      <c r="AI49" s="3"/>
      <c r="AJ49" s="4"/>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row>
    <row r="50" spans="1:249" s="2" customFormat="1" ht="30" customHeight="1" x14ac:dyDescent="0.25">
      <c r="A50" s="94">
        <v>13</v>
      </c>
      <c r="B50" s="95" t="s">
        <v>218</v>
      </c>
      <c r="C50" s="494"/>
      <c r="D50" s="494"/>
      <c r="E50" s="499"/>
      <c r="F50" s="214" t="s">
        <v>33</v>
      </c>
      <c r="G50" s="210">
        <v>29</v>
      </c>
      <c r="H50" s="210">
        <v>40</v>
      </c>
      <c r="I50" s="211">
        <v>244.8</v>
      </c>
      <c r="J50" s="213" t="s">
        <v>7</v>
      </c>
      <c r="K50" s="48">
        <f>504-368.9</f>
        <v>135.10000000000002</v>
      </c>
      <c r="L50" s="48">
        <f>I49+I50-K49-K50</f>
        <v>109.70000000000005</v>
      </c>
      <c r="M50" s="48"/>
      <c r="N50" s="49"/>
      <c r="O50" s="49"/>
      <c r="P50" s="49"/>
      <c r="Q50" s="50">
        <f t="shared" si="0"/>
        <v>244.80000000000007</v>
      </c>
      <c r="R50" s="55" t="str">
        <f t="shared" si="1"/>
        <v>LUC</v>
      </c>
      <c r="S50" s="183"/>
      <c r="T50" s="40">
        <v>80000</v>
      </c>
      <c r="U50" s="40">
        <f t="shared" si="17"/>
        <v>19584000.000000004</v>
      </c>
      <c r="V50" s="96" t="s">
        <v>64</v>
      </c>
      <c r="W50" s="241" t="s">
        <v>24</v>
      </c>
      <c r="X50" s="242">
        <f t="shared" si="18"/>
        <v>244.80000000000007</v>
      </c>
      <c r="Y50" s="41">
        <v>9000</v>
      </c>
      <c r="Z50" s="42">
        <v>1</v>
      </c>
      <c r="AA50" s="40">
        <f t="shared" si="4"/>
        <v>2203200.0000000005</v>
      </c>
      <c r="AB50" s="40">
        <f t="shared" si="6"/>
        <v>97920000.000000015</v>
      </c>
      <c r="AC50" s="40">
        <f t="shared" si="5"/>
        <v>3672000.0000000009</v>
      </c>
      <c r="AD50" s="40">
        <f t="shared" si="7"/>
        <v>0</v>
      </c>
      <c r="AE50" s="56">
        <f t="shared" si="8"/>
        <v>123379200.00000001</v>
      </c>
      <c r="AF50" s="504"/>
      <c r="AG50" s="69"/>
      <c r="AH50" s="43"/>
      <c r="AI50" s="3"/>
      <c r="AJ50" s="4"/>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row>
    <row r="51" spans="1:249" s="2" customFormat="1" ht="30" customHeight="1" x14ac:dyDescent="0.25">
      <c r="A51" s="94">
        <v>13</v>
      </c>
      <c r="B51" s="95" t="s">
        <v>218</v>
      </c>
      <c r="C51" s="246">
        <v>5</v>
      </c>
      <c r="D51" s="246">
        <v>37</v>
      </c>
      <c r="E51" s="247">
        <v>792</v>
      </c>
      <c r="F51" s="214" t="s">
        <v>33</v>
      </c>
      <c r="G51" s="210">
        <v>29</v>
      </c>
      <c r="H51" s="210">
        <v>51</v>
      </c>
      <c r="I51" s="211">
        <v>788.7</v>
      </c>
      <c r="J51" s="213" t="s">
        <v>7</v>
      </c>
      <c r="K51" s="48">
        <v>788.7</v>
      </c>
      <c r="L51" s="48"/>
      <c r="M51" s="48"/>
      <c r="N51" s="49"/>
      <c r="O51" s="49"/>
      <c r="P51" s="49"/>
      <c r="Q51" s="50">
        <f t="shared" si="0"/>
        <v>788.7</v>
      </c>
      <c r="R51" s="55" t="str">
        <f t="shared" si="1"/>
        <v>LUC</v>
      </c>
      <c r="S51" s="183"/>
      <c r="T51" s="40">
        <v>80000</v>
      </c>
      <c r="U51" s="40">
        <f t="shared" si="17"/>
        <v>63096000</v>
      </c>
      <c r="V51" s="96" t="s">
        <v>64</v>
      </c>
      <c r="W51" s="241" t="s">
        <v>24</v>
      </c>
      <c r="X51" s="242">
        <f t="shared" si="18"/>
        <v>788.7</v>
      </c>
      <c r="Y51" s="41">
        <v>9000</v>
      </c>
      <c r="Z51" s="42">
        <v>1</v>
      </c>
      <c r="AA51" s="40">
        <f t="shared" si="4"/>
        <v>7098300</v>
      </c>
      <c r="AB51" s="40">
        <f t="shared" si="6"/>
        <v>315480000</v>
      </c>
      <c r="AC51" s="40">
        <f t="shared" si="5"/>
        <v>11830500</v>
      </c>
      <c r="AD51" s="40">
        <f t="shared" si="7"/>
        <v>0</v>
      </c>
      <c r="AE51" s="56">
        <f t="shared" si="8"/>
        <v>397504800</v>
      </c>
      <c r="AF51" s="504"/>
      <c r="AG51" s="69"/>
      <c r="AH51" s="166">
        <f>Q51-792</f>
        <v>-3.2999999999999545</v>
      </c>
      <c r="AI51" s="229"/>
      <c r="AJ51" s="4"/>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row>
    <row r="52" spans="1:249" s="2" customFormat="1" ht="30" customHeight="1" x14ac:dyDescent="0.25">
      <c r="A52" s="94">
        <v>13</v>
      </c>
      <c r="B52" s="95" t="s">
        <v>218</v>
      </c>
      <c r="C52" s="246">
        <v>5</v>
      </c>
      <c r="D52" s="246">
        <v>98</v>
      </c>
      <c r="E52" s="247">
        <v>288</v>
      </c>
      <c r="F52" s="215" t="s">
        <v>201</v>
      </c>
      <c r="G52" s="210">
        <v>28</v>
      </c>
      <c r="H52" s="210">
        <v>722</v>
      </c>
      <c r="I52" s="211">
        <v>302.2</v>
      </c>
      <c r="J52" s="213" t="s">
        <v>7</v>
      </c>
      <c r="K52" s="48">
        <v>288</v>
      </c>
      <c r="L52" s="48">
        <f>I52-K52</f>
        <v>14.199999999999989</v>
      </c>
      <c r="M52" s="48"/>
      <c r="N52" s="49"/>
      <c r="O52" s="49"/>
      <c r="P52" s="49"/>
      <c r="Q52" s="50">
        <f t="shared" si="0"/>
        <v>302.2</v>
      </c>
      <c r="R52" s="55" t="str">
        <f t="shared" si="1"/>
        <v>LUC</v>
      </c>
      <c r="S52" s="183"/>
      <c r="T52" s="40">
        <v>80000</v>
      </c>
      <c r="U52" s="40">
        <f t="shared" si="17"/>
        <v>24176000</v>
      </c>
      <c r="V52" s="96" t="s">
        <v>64</v>
      </c>
      <c r="W52" s="241" t="s">
        <v>24</v>
      </c>
      <c r="X52" s="242">
        <f t="shared" si="18"/>
        <v>302.2</v>
      </c>
      <c r="Y52" s="41">
        <v>9000</v>
      </c>
      <c r="Z52" s="42">
        <v>1</v>
      </c>
      <c r="AA52" s="40">
        <f t="shared" si="4"/>
        <v>2719800</v>
      </c>
      <c r="AB52" s="40">
        <f t="shared" si="6"/>
        <v>120880000</v>
      </c>
      <c r="AC52" s="40">
        <f t="shared" si="5"/>
        <v>4533000</v>
      </c>
      <c r="AD52" s="40">
        <f t="shared" si="7"/>
        <v>0</v>
      </c>
      <c r="AE52" s="56">
        <f t="shared" si="8"/>
        <v>152308800</v>
      </c>
      <c r="AF52" s="504"/>
      <c r="AG52" s="44"/>
      <c r="AH52" s="43"/>
      <c r="AI52" s="3"/>
      <c r="AJ52" s="4"/>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row>
    <row r="53" spans="1:249" s="2" customFormat="1" ht="30" customHeight="1" x14ac:dyDescent="0.25">
      <c r="A53" s="94">
        <v>13</v>
      </c>
      <c r="B53" s="95" t="s">
        <v>218</v>
      </c>
      <c r="C53" s="246"/>
      <c r="D53" s="246"/>
      <c r="E53" s="247"/>
      <c r="F53" s="214" t="s">
        <v>33</v>
      </c>
      <c r="G53" s="210">
        <v>29</v>
      </c>
      <c r="H53" s="210">
        <v>15</v>
      </c>
      <c r="I53" s="211">
        <v>448.2</v>
      </c>
      <c r="J53" s="213" t="s">
        <v>7</v>
      </c>
      <c r="K53" s="48"/>
      <c r="L53" s="48">
        <v>448.2</v>
      </c>
      <c r="M53" s="48"/>
      <c r="N53" s="49"/>
      <c r="O53" s="49"/>
      <c r="P53" s="49"/>
      <c r="Q53" s="50">
        <f t="shared" si="0"/>
        <v>448.2</v>
      </c>
      <c r="R53" s="55" t="str">
        <f t="shared" si="1"/>
        <v>LUC</v>
      </c>
      <c r="S53" s="183"/>
      <c r="T53" s="40">
        <v>80000</v>
      </c>
      <c r="U53" s="40">
        <f t="shared" si="17"/>
        <v>35856000</v>
      </c>
      <c r="V53" s="96" t="s">
        <v>64</v>
      </c>
      <c r="W53" s="241" t="s">
        <v>24</v>
      </c>
      <c r="X53" s="242">
        <f t="shared" si="18"/>
        <v>448.2</v>
      </c>
      <c r="Y53" s="41">
        <v>9000</v>
      </c>
      <c r="Z53" s="42">
        <v>1</v>
      </c>
      <c r="AA53" s="40">
        <f t="shared" si="4"/>
        <v>4033800</v>
      </c>
      <c r="AB53" s="40">
        <f t="shared" si="6"/>
        <v>179280000</v>
      </c>
      <c r="AC53" s="40">
        <f t="shared" si="5"/>
        <v>6723000</v>
      </c>
      <c r="AD53" s="40">
        <f t="shared" si="7"/>
        <v>0</v>
      </c>
      <c r="AE53" s="56">
        <f t="shared" si="8"/>
        <v>225892800</v>
      </c>
      <c r="AF53" s="504"/>
      <c r="AG53" s="44"/>
      <c r="AH53" s="43"/>
      <c r="AI53" s="3"/>
      <c r="AJ53" s="4"/>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row>
    <row r="54" spans="1:249" s="2" customFormat="1" ht="74.25" customHeight="1" x14ac:dyDescent="0.25">
      <c r="A54" s="94">
        <v>14</v>
      </c>
      <c r="B54" s="95" t="s">
        <v>219</v>
      </c>
      <c r="C54" s="246">
        <v>5</v>
      </c>
      <c r="D54" s="246">
        <v>135</v>
      </c>
      <c r="E54" s="247">
        <v>360</v>
      </c>
      <c r="F54" s="248" t="s">
        <v>201</v>
      </c>
      <c r="G54" s="210">
        <v>28</v>
      </c>
      <c r="H54" s="210">
        <v>720</v>
      </c>
      <c r="I54" s="211">
        <v>370.2</v>
      </c>
      <c r="J54" s="213" t="s">
        <v>7</v>
      </c>
      <c r="K54" s="48">
        <f>360-18.3</f>
        <v>341.7</v>
      </c>
      <c r="L54" s="48">
        <f>I54-K54-S54</f>
        <v>10.199999999999999</v>
      </c>
      <c r="M54" s="48"/>
      <c r="N54" s="49"/>
      <c r="O54" s="49"/>
      <c r="P54" s="49"/>
      <c r="Q54" s="50">
        <f t="shared" si="0"/>
        <v>351.9</v>
      </c>
      <c r="R54" s="55" t="str">
        <f t="shared" si="1"/>
        <v>LUC</v>
      </c>
      <c r="S54" s="183">
        <v>18.3</v>
      </c>
      <c r="T54" s="40">
        <v>80000</v>
      </c>
      <c r="U54" s="40">
        <f t="shared" si="17"/>
        <v>28152000</v>
      </c>
      <c r="V54" s="96" t="s">
        <v>64</v>
      </c>
      <c r="W54" s="241" t="s">
        <v>24</v>
      </c>
      <c r="X54" s="242">
        <f t="shared" si="18"/>
        <v>351.9</v>
      </c>
      <c r="Y54" s="41">
        <v>9000</v>
      </c>
      <c r="Z54" s="42">
        <v>1</v>
      </c>
      <c r="AA54" s="40">
        <f t="shared" si="4"/>
        <v>3167100</v>
      </c>
      <c r="AB54" s="40">
        <f t="shared" si="6"/>
        <v>140760000</v>
      </c>
      <c r="AC54" s="40">
        <f t="shared" si="5"/>
        <v>5278500</v>
      </c>
      <c r="AD54" s="40">
        <f t="shared" si="7"/>
        <v>0</v>
      </c>
      <c r="AE54" s="56">
        <f t="shared" si="8"/>
        <v>177357600</v>
      </c>
      <c r="AF54" s="56">
        <f>AE54</f>
        <v>177357600</v>
      </c>
      <c r="AG54" s="44" t="s">
        <v>138</v>
      </c>
      <c r="AH54" s="43"/>
      <c r="AI54" s="3"/>
      <c r="AJ54" s="4"/>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row>
    <row r="55" spans="1:249" s="237" customFormat="1" ht="36" x14ac:dyDescent="0.25">
      <c r="A55" s="94">
        <v>15</v>
      </c>
      <c r="B55" s="95" t="s">
        <v>199</v>
      </c>
      <c r="C55" s="246">
        <v>5</v>
      </c>
      <c r="D55" s="246">
        <v>64</v>
      </c>
      <c r="E55" s="216">
        <v>240</v>
      </c>
      <c r="F55" s="214" t="s">
        <v>33</v>
      </c>
      <c r="G55" s="210">
        <v>28</v>
      </c>
      <c r="H55" s="210">
        <v>782</v>
      </c>
      <c r="I55" s="211">
        <v>441.7</v>
      </c>
      <c r="J55" s="213" t="s">
        <v>7</v>
      </c>
      <c r="K55" s="48">
        <v>240</v>
      </c>
      <c r="L55" s="48"/>
      <c r="M55" s="48"/>
      <c r="N55" s="49"/>
      <c r="O55" s="49"/>
      <c r="P55" s="49"/>
      <c r="Q55" s="50">
        <f>K55+L55+M55+N55+O55+P55</f>
        <v>240</v>
      </c>
      <c r="R55" s="55" t="str">
        <f>J55</f>
        <v>LUC</v>
      </c>
      <c r="S55" s="183"/>
      <c r="T55" s="40">
        <v>80000</v>
      </c>
      <c r="U55" s="40">
        <f>(K55+L55+N55+O55)*T55</f>
        <v>19200000</v>
      </c>
      <c r="V55" s="96" t="s">
        <v>64</v>
      </c>
      <c r="W55" s="241" t="s">
        <v>24</v>
      </c>
      <c r="X55" s="242">
        <f>Q55</f>
        <v>240</v>
      </c>
      <c r="Y55" s="267">
        <v>9000</v>
      </c>
      <c r="Z55" s="178">
        <v>1</v>
      </c>
      <c r="AA55" s="40">
        <f>X55*Y55*Z55</f>
        <v>2160000</v>
      </c>
      <c r="AB55" s="40">
        <f>(K55+L55+N55+O55)*T55*5</f>
        <v>96000000</v>
      </c>
      <c r="AC55" s="40">
        <f>(K55+L55+N55+O55)*15000</f>
        <v>3600000</v>
      </c>
      <c r="AD55" s="40">
        <f>(M55+P55)*T55*100%</f>
        <v>0</v>
      </c>
      <c r="AE55" s="56">
        <f>U55+AA55+AB55+AC55+AD55</f>
        <v>120960000</v>
      </c>
      <c r="AF55" s="175">
        <f>AE55</f>
        <v>120960000</v>
      </c>
      <c r="AG55" s="232" t="s">
        <v>62</v>
      </c>
      <c r="AH55" s="233"/>
      <c r="AI55" s="234"/>
      <c r="AJ55" s="235"/>
      <c r="AK55" s="236"/>
      <c r="AL55" s="236"/>
      <c r="AM55" s="236"/>
      <c r="AN55" s="236"/>
      <c r="AO55" s="236"/>
      <c r="AP55" s="236"/>
      <c r="AQ55" s="236"/>
      <c r="AR55" s="236"/>
      <c r="AS55" s="236"/>
      <c r="AT55" s="236"/>
      <c r="AU55" s="236"/>
      <c r="AV55" s="236"/>
      <c r="AW55" s="236"/>
      <c r="AX55" s="236"/>
      <c r="AY55" s="236"/>
      <c r="AZ55" s="236"/>
      <c r="BA55" s="236"/>
      <c r="BB55" s="236"/>
      <c r="BC55" s="236"/>
      <c r="BD55" s="236"/>
      <c r="BE55" s="236"/>
      <c r="BF55" s="236"/>
      <c r="BG55" s="236"/>
      <c r="BH55" s="236"/>
      <c r="BI55" s="236"/>
      <c r="BJ55" s="236"/>
      <c r="BK55" s="236"/>
      <c r="BL55" s="236"/>
      <c r="BM55" s="236"/>
      <c r="BN55" s="236"/>
      <c r="BO55" s="236"/>
      <c r="BP55" s="236"/>
      <c r="BQ55" s="236"/>
      <c r="BR55" s="236"/>
      <c r="BS55" s="236"/>
      <c r="BT55" s="236"/>
      <c r="BU55" s="236"/>
      <c r="BV55" s="236"/>
      <c r="BW55" s="236"/>
      <c r="BX55" s="236"/>
      <c r="BY55" s="236"/>
      <c r="BZ55" s="236"/>
      <c r="CA55" s="236"/>
      <c r="CB55" s="236"/>
      <c r="CC55" s="236"/>
      <c r="CD55" s="236"/>
      <c r="CE55" s="236"/>
      <c r="CF55" s="236"/>
      <c r="CG55" s="236"/>
      <c r="CH55" s="236"/>
      <c r="CI55" s="236"/>
      <c r="CJ55" s="236"/>
      <c r="CK55" s="236"/>
      <c r="CL55" s="236"/>
      <c r="CM55" s="236"/>
      <c r="CN55" s="236"/>
      <c r="CO55" s="236"/>
      <c r="CP55" s="236"/>
      <c r="CQ55" s="236"/>
      <c r="CR55" s="236"/>
      <c r="CS55" s="236"/>
      <c r="CT55" s="236"/>
      <c r="CU55" s="236"/>
      <c r="CV55" s="236"/>
      <c r="CW55" s="236"/>
      <c r="CX55" s="236"/>
      <c r="CY55" s="236"/>
      <c r="CZ55" s="236"/>
      <c r="DA55" s="236"/>
      <c r="DB55" s="236"/>
      <c r="DC55" s="236"/>
      <c r="DD55" s="236"/>
      <c r="DE55" s="236"/>
      <c r="DF55" s="236"/>
      <c r="DG55" s="236"/>
      <c r="DH55" s="236"/>
      <c r="DI55" s="236"/>
      <c r="DJ55" s="236"/>
      <c r="DK55" s="236"/>
      <c r="DL55" s="236"/>
      <c r="DM55" s="236"/>
      <c r="DN55" s="236"/>
      <c r="DO55" s="236"/>
      <c r="DP55" s="236"/>
      <c r="DQ55" s="236"/>
      <c r="DR55" s="236"/>
      <c r="DS55" s="236"/>
      <c r="DT55" s="236"/>
      <c r="DU55" s="236"/>
      <c r="DV55" s="236"/>
      <c r="DW55" s="236"/>
      <c r="DX55" s="236"/>
      <c r="DY55" s="236"/>
      <c r="DZ55" s="236"/>
      <c r="EA55" s="236"/>
      <c r="EB55" s="236"/>
      <c r="EC55" s="236"/>
      <c r="ED55" s="236"/>
      <c r="EE55" s="236"/>
      <c r="EF55" s="236"/>
      <c r="EG55" s="236"/>
      <c r="EH55" s="236"/>
      <c r="EI55" s="236"/>
      <c r="EJ55" s="236"/>
      <c r="EK55" s="236"/>
      <c r="EL55" s="236"/>
      <c r="EM55" s="236"/>
      <c r="EN55" s="236"/>
      <c r="EO55" s="236"/>
      <c r="EP55" s="236"/>
      <c r="EQ55" s="236"/>
      <c r="ER55" s="236"/>
      <c r="ES55" s="236"/>
      <c r="ET55" s="236"/>
      <c r="EU55" s="236"/>
      <c r="EV55" s="236"/>
      <c r="EW55" s="236"/>
      <c r="EX55" s="236"/>
      <c r="EY55" s="236"/>
      <c r="EZ55" s="236"/>
      <c r="FA55" s="236"/>
      <c r="FB55" s="236"/>
      <c r="FC55" s="236"/>
      <c r="FD55" s="236"/>
      <c r="FE55" s="236"/>
      <c r="FF55" s="236"/>
      <c r="FG55" s="236"/>
      <c r="FH55" s="236"/>
      <c r="FI55" s="236"/>
      <c r="FJ55" s="236"/>
      <c r="FK55" s="236"/>
      <c r="FL55" s="236"/>
      <c r="FM55" s="236"/>
      <c r="FN55" s="236"/>
      <c r="FO55" s="236"/>
      <c r="FP55" s="236"/>
      <c r="FQ55" s="236"/>
      <c r="FR55" s="236"/>
      <c r="FS55" s="236"/>
      <c r="FT55" s="236"/>
      <c r="FU55" s="236"/>
      <c r="FV55" s="236"/>
      <c r="FW55" s="236"/>
      <c r="FX55" s="236"/>
      <c r="FY55" s="236"/>
      <c r="FZ55" s="236"/>
      <c r="GA55" s="236"/>
      <c r="GB55" s="236"/>
      <c r="GC55" s="236"/>
      <c r="GD55" s="236"/>
      <c r="GE55" s="236"/>
      <c r="GF55" s="236"/>
      <c r="GG55" s="236"/>
      <c r="GH55" s="236"/>
      <c r="GI55" s="236"/>
      <c r="GJ55" s="236"/>
      <c r="GK55" s="236"/>
      <c r="GL55" s="236"/>
      <c r="GM55" s="236"/>
      <c r="GN55" s="236"/>
      <c r="GO55" s="236"/>
      <c r="GP55" s="236"/>
      <c r="GQ55" s="236"/>
      <c r="GR55" s="236"/>
      <c r="GS55" s="236"/>
      <c r="GT55" s="236"/>
      <c r="GU55" s="236"/>
      <c r="GV55" s="236"/>
      <c r="GW55" s="236"/>
      <c r="GX55" s="236"/>
      <c r="GY55" s="236"/>
      <c r="GZ55" s="236"/>
      <c r="HA55" s="236"/>
      <c r="HB55" s="236"/>
      <c r="HC55" s="236"/>
      <c r="HD55" s="236"/>
      <c r="HE55" s="236"/>
      <c r="HF55" s="236"/>
      <c r="HG55" s="236"/>
      <c r="HH55" s="236"/>
      <c r="HI55" s="236"/>
      <c r="HJ55" s="236"/>
      <c r="HK55" s="236"/>
      <c r="HL55" s="236"/>
      <c r="HM55" s="236"/>
      <c r="HN55" s="236"/>
      <c r="HO55" s="236"/>
      <c r="HP55" s="236"/>
      <c r="HQ55" s="236"/>
      <c r="HR55" s="236"/>
      <c r="HS55" s="236"/>
      <c r="HT55" s="236"/>
      <c r="HU55" s="236"/>
      <c r="HV55" s="236"/>
      <c r="HW55" s="236"/>
      <c r="HX55" s="236"/>
      <c r="HY55" s="236"/>
      <c r="HZ55" s="236"/>
      <c r="IA55" s="236"/>
      <c r="IB55" s="236"/>
      <c r="IC55" s="236"/>
      <c r="ID55" s="236"/>
      <c r="IE55" s="236"/>
      <c r="IF55" s="236"/>
      <c r="IG55" s="236"/>
      <c r="IH55" s="236"/>
      <c r="II55" s="236"/>
      <c r="IJ55" s="236"/>
      <c r="IK55" s="236"/>
      <c r="IL55" s="236"/>
      <c r="IM55" s="236"/>
      <c r="IN55" s="236"/>
      <c r="IO55" s="236"/>
    </row>
    <row r="56" spans="1:249" s="2" customFormat="1" ht="51" x14ac:dyDescent="0.25">
      <c r="A56" s="94">
        <v>16</v>
      </c>
      <c r="B56" s="95" t="s">
        <v>220</v>
      </c>
      <c r="C56" s="246">
        <v>5</v>
      </c>
      <c r="D56" s="246">
        <v>44</v>
      </c>
      <c r="E56" s="247">
        <v>168</v>
      </c>
      <c r="F56" s="249" t="s">
        <v>33</v>
      </c>
      <c r="G56" s="210">
        <v>29</v>
      </c>
      <c r="H56" s="210">
        <v>74</v>
      </c>
      <c r="I56" s="211">
        <v>213.1</v>
      </c>
      <c r="J56" s="212" t="s">
        <v>43</v>
      </c>
      <c r="K56" s="48">
        <v>168</v>
      </c>
      <c r="L56" s="48">
        <f>192.9-K56</f>
        <v>24.900000000000006</v>
      </c>
      <c r="M56" s="48"/>
      <c r="N56" s="49"/>
      <c r="O56" s="49"/>
      <c r="P56" s="49"/>
      <c r="Q56" s="50">
        <f t="shared" si="0"/>
        <v>192.9</v>
      </c>
      <c r="R56" s="55" t="s">
        <v>86</v>
      </c>
      <c r="S56" s="183"/>
      <c r="T56" s="40">
        <v>80000</v>
      </c>
      <c r="U56" s="40">
        <f t="shared" si="17"/>
        <v>15432000</v>
      </c>
      <c r="V56" s="99" t="s">
        <v>320</v>
      </c>
      <c r="W56" s="241" t="s">
        <v>61</v>
      </c>
      <c r="X56" s="242">
        <v>5</v>
      </c>
      <c r="Y56" s="41">
        <v>123000</v>
      </c>
      <c r="Z56" s="42">
        <v>0.8</v>
      </c>
      <c r="AA56" s="40">
        <f t="shared" si="4"/>
        <v>492000</v>
      </c>
      <c r="AB56" s="40">
        <f t="shared" si="6"/>
        <v>77160000</v>
      </c>
      <c r="AC56" s="40">
        <f t="shared" si="5"/>
        <v>2893500</v>
      </c>
      <c r="AD56" s="40">
        <f t="shared" si="7"/>
        <v>0</v>
      </c>
      <c r="AE56" s="56">
        <f t="shared" si="8"/>
        <v>95977500</v>
      </c>
      <c r="AF56" s="504">
        <f>SUM(AE56:AE59)</f>
        <v>879068700</v>
      </c>
      <c r="AG56" s="69" t="s">
        <v>221</v>
      </c>
      <c r="AH56" s="43"/>
      <c r="AI56" s="3"/>
      <c r="AJ56" s="4"/>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row>
    <row r="57" spans="1:249" s="2" customFormat="1" ht="54.75" customHeight="1" x14ac:dyDescent="0.25">
      <c r="A57" s="94">
        <v>16</v>
      </c>
      <c r="B57" s="95" t="s">
        <v>220</v>
      </c>
      <c r="C57" s="246"/>
      <c r="D57" s="246"/>
      <c r="E57" s="247"/>
      <c r="F57" s="249" t="s">
        <v>33</v>
      </c>
      <c r="G57" s="210">
        <v>29</v>
      </c>
      <c r="H57" s="210">
        <v>74</v>
      </c>
      <c r="I57" s="211"/>
      <c r="J57" s="212"/>
      <c r="K57" s="48"/>
      <c r="L57" s="48"/>
      <c r="M57" s="48"/>
      <c r="N57" s="49"/>
      <c r="O57" s="49"/>
      <c r="P57" s="49"/>
      <c r="Q57" s="50"/>
      <c r="R57" s="55"/>
      <c r="S57" s="183"/>
      <c r="T57" s="40"/>
      <c r="U57" s="40">
        <f t="shared" si="17"/>
        <v>0</v>
      </c>
      <c r="V57" s="99" t="s">
        <v>322</v>
      </c>
      <c r="W57" s="241" t="s">
        <v>61</v>
      </c>
      <c r="X57" s="242">
        <v>15</v>
      </c>
      <c r="Y57" s="41">
        <v>40000</v>
      </c>
      <c r="Z57" s="42">
        <v>0.8</v>
      </c>
      <c r="AA57" s="40">
        <f t="shared" si="4"/>
        <v>480000</v>
      </c>
      <c r="AB57" s="40">
        <f t="shared" si="6"/>
        <v>0</v>
      </c>
      <c r="AC57" s="40">
        <f t="shared" si="5"/>
        <v>0</v>
      </c>
      <c r="AD57" s="40">
        <f t="shared" si="7"/>
        <v>0</v>
      </c>
      <c r="AE57" s="56">
        <f t="shared" si="8"/>
        <v>480000</v>
      </c>
      <c r="AF57" s="504"/>
      <c r="AG57" s="69"/>
      <c r="AH57" s="43"/>
      <c r="AI57" s="3"/>
      <c r="AJ57" s="4"/>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row>
    <row r="58" spans="1:249" s="2" customFormat="1" ht="24" x14ac:dyDescent="0.25">
      <c r="A58" s="94">
        <v>16</v>
      </c>
      <c r="B58" s="95" t="s">
        <v>220</v>
      </c>
      <c r="C58" s="246">
        <v>5</v>
      </c>
      <c r="D58" s="246">
        <v>79</v>
      </c>
      <c r="E58" s="247">
        <v>864</v>
      </c>
      <c r="F58" s="249" t="s">
        <v>33</v>
      </c>
      <c r="G58" s="210">
        <v>28</v>
      </c>
      <c r="H58" s="210">
        <v>611</v>
      </c>
      <c r="I58" s="211">
        <v>860.9</v>
      </c>
      <c r="J58" s="212" t="s">
        <v>7</v>
      </c>
      <c r="K58" s="48">
        <v>860.9</v>
      </c>
      <c r="L58" s="48"/>
      <c r="M58" s="48"/>
      <c r="N58" s="49"/>
      <c r="O58" s="49"/>
      <c r="P58" s="49"/>
      <c r="Q58" s="50">
        <f t="shared" si="0"/>
        <v>860.9</v>
      </c>
      <c r="R58" s="55" t="str">
        <f t="shared" si="1"/>
        <v>LUC</v>
      </c>
      <c r="S58" s="183"/>
      <c r="T58" s="40">
        <v>80000</v>
      </c>
      <c r="U58" s="40">
        <f t="shared" si="17"/>
        <v>68872000</v>
      </c>
      <c r="V58" s="96" t="s">
        <v>64</v>
      </c>
      <c r="W58" s="241" t="s">
        <v>24</v>
      </c>
      <c r="X58" s="242">
        <f t="shared" ref="X58:X61" si="19">Q58</f>
        <v>860.9</v>
      </c>
      <c r="Y58" s="41">
        <v>9000</v>
      </c>
      <c r="Z58" s="42">
        <v>1</v>
      </c>
      <c r="AA58" s="40">
        <f t="shared" si="4"/>
        <v>7748100</v>
      </c>
      <c r="AB58" s="40">
        <f t="shared" si="6"/>
        <v>344360000</v>
      </c>
      <c r="AC58" s="40">
        <f t="shared" si="5"/>
        <v>12913500</v>
      </c>
      <c r="AD58" s="40">
        <f t="shared" si="7"/>
        <v>0</v>
      </c>
      <c r="AE58" s="56">
        <f t="shared" si="8"/>
        <v>433893600</v>
      </c>
      <c r="AF58" s="504"/>
      <c r="AG58" s="69"/>
      <c r="AH58" s="69"/>
      <c r="AI58" s="3"/>
      <c r="AJ58" s="4"/>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row>
    <row r="59" spans="1:249" s="2" customFormat="1" ht="24" x14ac:dyDescent="0.25">
      <c r="A59" s="94">
        <v>16</v>
      </c>
      <c r="B59" s="95" t="s">
        <v>220</v>
      </c>
      <c r="C59" s="246">
        <v>5</v>
      </c>
      <c r="D59" s="246">
        <v>33</v>
      </c>
      <c r="E59" s="247">
        <v>432</v>
      </c>
      <c r="F59" s="249" t="s">
        <v>33</v>
      </c>
      <c r="G59" s="210">
        <v>29</v>
      </c>
      <c r="H59" s="210">
        <v>32</v>
      </c>
      <c r="I59" s="211">
        <v>691.9</v>
      </c>
      <c r="J59" s="212" t="s">
        <v>7</v>
      </c>
      <c r="K59" s="48">
        <v>432</v>
      </c>
      <c r="L59" s="48">
        <f>I59-K59</f>
        <v>259.89999999999998</v>
      </c>
      <c r="M59" s="48"/>
      <c r="N59" s="49"/>
      <c r="O59" s="49"/>
      <c r="P59" s="49"/>
      <c r="Q59" s="50">
        <f t="shared" si="0"/>
        <v>691.9</v>
      </c>
      <c r="R59" s="55" t="str">
        <f t="shared" si="1"/>
        <v>LUC</v>
      </c>
      <c r="S59" s="183"/>
      <c r="T59" s="40">
        <v>80000</v>
      </c>
      <c r="U59" s="40">
        <f t="shared" si="17"/>
        <v>55352000</v>
      </c>
      <c r="V59" s="96" t="s">
        <v>64</v>
      </c>
      <c r="W59" s="241" t="s">
        <v>24</v>
      </c>
      <c r="X59" s="242">
        <f t="shared" si="19"/>
        <v>691.9</v>
      </c>
      <c r="Y59" s="41">
        <v>9000</v>
      </c>
      <c r="Z59" s="42">
        <v>1</v>
      </c>
      <c r="AA59" s="40">
        <f t="shared" si="4"/>
        <v>6227100</v>
      </c>
      <c r="AB59" s="40">
        <f t="shared" si="6"/>
        <v>276760000</v>
      </c>
      <c r="AC59" s="40">
        <f t="shared" si="5"/>
        <v>10378500</v>
      </c>
      <c r="AD59" s="40">
        <f t="shared" si="7"/>
        <v>0</v>
      </c>
      <c r="AE59" s="56">
        <f t="shared" si="8"/>
        <v>348717600</v>
      </c>
      <c r="AF59" s="504"/>
      <c r="AG59" s="69"/>
      <c r="AH59" s="43"/>
      <c r="AI59" s="3"/>
      <c r="AJ59" s="4"/>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row>
    <row r="60" spans="1:249" s="2" customFormat="1" ht="45" x14ac:dyDescent="0.25">
      <c r="A60" s="94">
        <v>17</v>
      </c>
      <c r="B60" s="95" t="s">
        <v>222</v>
      </c>
      <c r="C60" s="246"/>
      <c r="D60" s="246"/>
      <c r="E60" s="247"/>
      <c r="F60" s="249" t="s">
        <v>33</v>
      </c>
      <c r="G60" s="210">
        <v>29</v>
      </c>
      <c r="H60" s="210">
        <v>79</v>
      </c>
      <c r="I60" s="211">
        <v>225</v>
      </c>
      <c r="J60" s="212" t="s">
        <v>7</v>
      </c>
      <c r="K60" s="48"/>
      <c r="L60" s="48">
        <v>170.7</v>
      </c>
      <c r="M60" s="48"/>
      <c r="N60" s="49"/>
      <c r="O60" s="49"/>
      <c r="P60" s="49"/>
      <c r="Q60" s="50">
        <f t="shared" si="0"/>
        <v>170.7</v>
      </c>
      <c r="R60" s="55" t="str">
        <f t="shared" si="1"/>
        <v>LUC</v>
      </c>
      <c r="S60" s="183"/>
      <c r="T60" s="40">
        <v>80000</v>
      </c>
      <c r="U60" s="40">
        <f t="shared" si="17"/>
        <v>13656000</v>
      </c>
      <c r="V60" s="96" t="s">
        <v>64</v>
      </c>
      <c r="W60" s="241" t="s">
        <v>24</v>
      </c>
      <c r="X60" s="242">
        <f t="shared" si="19"/>
        <v>170.7</v>
      </c>
      <c r="Y60" s="41">
        <v>9000</v>
      </c>
      <c r="Z60" s="42">
        <v>1</v>
      </c>
      <c r="AA60" s="40">
        <f t="shared" si="4"/>
        <v>1536300</v>
      </c>
      <c r="AB60" s="40">
        <f t="shared" si="6"/>
        <v>68280000</v>
      </c>
      <c r="AC60" s="40">
        <f t="shared" si="5"/>
        <v>2560500</v>
      </c>
      <c r="AD60" s="40">
        <f t="shared" si="7"/>
        <v>0</v>
      </c>
      <c r="AE60" s="56">
        <f t="shared" si="8"/>
        <v>86032800</v>
      </c>
      <c r="AF60" s="504">
        <f>SUM(AE60:AE63)</f>
        <v>345081620</v>
      </c>
      <c r="AG60" s="69" t="s">
        <v>223</v>
      </c>
      <c r="AH60" s="43"/>
      <c r="AI60" s="3"/>
      <c r="AJ60" s="4"/>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row>
    <row r="61" spans="1:249" s="2" customFormat="1" ht="30" customHeight="1" x14ac:dyDescent="0.25">
      <c r="A61" s="94">
        <v>17</v>
      </c>
      <c r="B61" s="95" t="s">
        <v>222</v>
      </c>
      <c r="C61" s="246"/>
      <c r="D61" s="246"/>
      <c r="E61" s="216"/>
      <c r="F61" s="249" t="s">
        <v>33</v>
      </c>
      <c r="G61" s="210">
        <v>29</v>
      </c>
      <c r="H61" s="210">
        <v>75</v>
      </c>
      <c r="I61" s="211">
        <v>195.8</v>
      </c>
      <c r="J61" s="212" t="s">
        <v>7</v>
      </c>
      <c r="K61" s="48"/>
      <c r="L61" s="48">
        <v>195.8</v>
      </c>
      <c r="M61" s="48"/>
      <c r="N61" s="49"/>
      <c r="O61" s="49"/>
      <c r="P61" s="49"/>
      <c r="Q61" s="50">
        <f t="shared" si="0"/>
        <v>195.8</v>
      </c>
      <c r="R61" s="55" t="str">
        <f t="shared" si="1"/>
        <v>LUC</v>
      </c>
      <c r="S61" s="183"/>
      <c r="T61" s="40">
        <v>80000</v>
      </c>
      <c r="U61" s="40">
        <f t="shared" si="17"/>
        <v>15664000</v>
      </c>
      <c r="V61" s="96" t="s">
        <v>64</v>
      </c>
      <c r="W61" s="241" t="s">
        <v>24</v>
      </c>
      <c r="X61" s="242">
        <f t="shared" si="19"/>
        <v>195.8</v>
      </c>
      <c r="Y61" s="41">
        <v>9000</v>
      </c>
      <c r="Z61" s="42">
        <v>1</v>
      </c>
      <c r="AA61" s="40">
        <f t="shared" si="4"/>
        <v>1762200</v>
      </c>
      <c r="AB61" s="40">
        <f t="shared" si="6"/>
        <v>78320000</v>
      </c>
      <c r="AC61" s="40">
        <f t="shared" si="5"/>
        <v>2937000</v>
      </c>
      <c r="AD61" s="40">
        <f t="shared" si="7"/>
        <v>0</v>
      </c>
      <c r="AE61" s="56">
        <f t="shared" si="8"/>
        <v>98683200</v>
      </c>
      <c r="AF61" s="504"/>
      <c r="AG61" s="6"/>
      <c r="AH61" s="167"/>
      <c r="AI61" s="3"/>
      <c r="AJ61" s="4"/>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row>
    <row r="62" spans="1:249" s="2" customFormat="1" ht="68.25" customHeight="1" x14ac:dyDescent="0.25">
      <c r="A62" s="94">
        <v>17</v>
      </c>
      <c r="B62" s="95" t="s">
        <v>222</v>
      </c>
      <c r="C62" s="246">
        <v>5</v>
      </c>
      <c r="D62" s="246">
        <v>64</v>
      </c>
      <c r="E62" s="216">
        <v>540</v>
      </c>
      <c r="F62" s="249" t="s">
        <v>33</v>
      </c>
      <c r="G62" s="210">
        <v>29</v>
      </c>
      <c r="H62" s="210">
        <v>80</v>
      </c>
      <c r="I62" s="211">
        <v>773</v>
      </c>
      <c r="J62" s="212" t="s">
        <v>7</v>
      </c>
      <c r="K62" s="48">
        <v>316.3</v>
      </c>
      <c r="L62" s="48"/>
      <c r="M62" s="48"/>
      <c r="N62" s="49"/>
      <c r="O62" s="49"/>
      <c r="P62" s="49"/>
      <c r="Q62" s="50">
        <f t="shared" si="0"/>
        <v>316.3</v>
      </c>
      <c r="R62" s="55" t="str">
        <f t="shared" si="1"/>
        <v>LUC</v>
      </c>
      <c r="S62" s="183"/>
      <c r="T62" s="40">
        <v>80000</v>
      </c>
      <c r="U62" s="40">
        <f t="shared" si="17"/>
        <v>25304000</v>
      </c>
      <c r="V62" s="99" t="s">
        <v>259</v>
      </c>
      <c r="W62" s="243" t="s">
        <v>61</v>
      </c>
      <c r="X62" s="242">
        <v>64</v>
      </c>
      <c r="Y62" s="41">
        <v>34000</v>
      </c>
      <c r="Z62" s="42">
        <v>0.8</v>
      </c>
      <c r="AA62" s="40">
        <f t="shared" si="4"/>
        <v>1740800</v>
      </c>
      <c r="AB62" s="40">
        <f t="shared" si="6"/>
        <v>126520000</v>
      </c>
      <c r="AC62" s="40">
        <f t="shared" si="5"/>
        <v>4744500</v>
      </c>
      <c r="AD62" s="40">
        <f t="shared" si="7"/>
        <v>0</v>
      </c>
      <c r="AE62" s="56">
        <f t="shared" si="8"/>
        <v>158309300</v>
      </c>
      <c r="AF62" s="504"/>
      <c r="AG62" s="69" t="s">
        <v>224</v>
      </c>
      <c r="AH62" s="173">
        <f>Q62*9000</f>
        <v>2846700</v>
      </c>
      <c r="AI62" s="3"/>
      <c r="AJ62" s="4"/>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row>
    <row r="63" spans="1:249" s="2" customFormat="1" ht="90" x14ac:dyDescent="0.25">
      <c r="A63" s="94">
        <v>17</v>
      </c>
      <c r="B63" s="95" t="s">
        <v>222</v>
      </c>
      <c r="C63" s="246"/>
      <c r="D63" s="246"/>
      <c r="E63" s="216"/>
      <c r="F63" s="249" t="s">
        <v>33</v>
      </c>
      <c r="G63" s="210">
        <v>29</v>
      </c>
      <c r="H63" s="210">
        <v>80</v>
      </c>
      <c r="I63" s="211"/>
      <c r="J63" s="212"/>
      <c r="K63" s="48"/>
      <c r="L63" s="48"/>
      <c r="M63" s="48"/>
      <c r="N63" s="49"/>
      <c r="O63" s="49"/>
      <c r="P63" s="49"/>
      <c r="Q63" s="50"/>
      <c r="R63" s="55"/>
      <c r="S63" s="183"/>
      <c r="T63" s="40"/>
      <c r="U63" s="40">
        <f t="shared" si="17"/>
        <v>0</v>
      </c>
      <c r="V63" s="99" t="s">
        <v>259</v>
      </c>
      <c r="W63" s="243" t="s">
        <v>61</v>
      </c>
      <c r="X63" s="242">
        <f>316-64</f>
        <v>252</v>
      </c>
      <c r="Y63" s="174">
        <f>34000*30%</f>
        <v>10200</v>
      </c>
      <c r="Z63" s="42">
        <v>0.8</v>
      </c>
      <c r="AA63" s="40">
        <f t="shared" si="4"/>
        <v>2056320</v>
      </c>
      <c r="AB63" s="40">
        <f t="shared" si="6"/>
        <v>0</v>
      </c>
      <c r="AC63" s="40">
        <f t="shared" si="5"/>
        <v>0</v>
      </c>
      <c r="AD63" s="40">
        <f t="shared" si="7"/>
        <v>0</v>
      </c>
      <c r="AE63" s="56">
        <f t="shared" si="8"/>
        <v>2056320</v>
      </c>
      <c r="AF63" s="504"/>
      <c r="AG63" s="264" t="s">
        <v>262</v>
      </c>
      <c r="AH63" s="43" t="s">
        <v>269</v>
      </c>
      <c r="AI63" s="3"/>
      <c r="AJ63" s="4"/>
      <c r="AK63" s="1">
        <f>1.2*316</f>
        <v>379.2</v>
      </c>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row>
    <row r="64" spans="1:249" s="2" customFormat="1" ht="30" customHeight="1" x14ac:dyDescent="0.25">
      <c r="A64" s="94">
        <v>18</v>
      </c>
      <c r="B64" s="95" t="s">
        <v>225</v>
      </c>
      <c r="C64" s="246">
        <v>5</v>
      </c>
      <c r="D64" s="246">
        <v>39</v>
      </c>
      <c r="E64" s="216">
        <v>1464</v>
      </c>
      <c r="F64" s="249" t="s">
        <v>33</v>
      </c>
      <c r="G64" s="210">
        <v>29</v>
      </c>
      <c r="H64" s="210">
        <v>28</v>
      </c>
      <c r="I64" s="211">
        <v>981.9</v>
      </c>
      <c r="J64" s="212" t="s">
        <v>7</v>
      </c>
      <c r="K64" s="48">
        <v>744</v>
      </c>
      <c r="L64" s="48">
        <f>I64-K64</f>
        <v>237.89999999999998</v>
      </c>
      <c r="M64" s="48"/>
      <c r="N64" s="49"/>
      <c r="O64" s="49"/>
      <c r="P64" s="49"/>
      <c r="Q64" s="50">
        <f t="shared" si="0"/>
        <v>981.9</v>
      </c>
      <c r="R64" s="55" t="str">
        <f t="shared" si="1"/>
        <v>LUC</v>
      </c>
      <c r="S64" s="183"/>
      <c r="T64" s="40">
        <v>80000</v>
      </c>
      <c r="U64" s="40">
        <f t="shared" si="17"/>
        <v>78552000</v>
      </c>
      <c r="V64" s="96" t="s">
        <v>64</v>
      </c>
      <c r="W64" s="241" t="s">
        <v>24</v>
      </c>
      <c r="X64" s="242">
        <f t="shared" ref="X64:X66" si="20">Q64</f>
        <v>981.9</v>
      </c>
      <c r="Y64" s="41">
        <v>9000</v>
      </c>
      <c r="Z64" s="42">
        <v>1</v>
      </c>
      <c r="AA64" s="40">
        <f t="shared" si="4"/>
        <v>8837100</v>
      </c>
      <c r="AB64" s="40">
        <f t="shared" si="6"/>
        <v>392760000</v>
      </c>
      <c r="AC64" s="40">
        <f t="shared" si="5"/>
        <v>14728500</v>
      </c>
      <c r="AD64" s="40">
        <f t="shared" si="7"/>
        <v>0</v>
      </c>
      <c r="AE64" s="56">
        <f t="shared" si="8"/>
        <v>494877600</v>
      </c>
      <c r="AF64" s="504">
        <f>SUM(AE64:AE68)</f>
        <v>1355591080</v>
      </c>
      <c r="AG64" s="6"/>
      <c r="AH64" s="100"/>
      <c r="AI64" s="3"/>
      <c r="AJ64" s="4"/>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row>
    <row r="65" spans="1:249" s="2" customFormat="1" ht="30" customHeight="1" x14ac:dyDescent="0.25">
      <c r="A65" s="94">
        <v>18</v>
      </c>
      <c r="B65" s="95" t="s">
        <v>225</v>
      </c>
      <c r="C65" s="246"/>
      <c r="D65" s="246"/>
      <c r="E65" s="216"/>
      <c r="F65" s="249" t="s">
        <v>33</v>
      </c>
      <c r="G65" s="210">
        <v>29</v>
      </c>
      <c r="H65" s="210">
        <v>25</v>
      </c>
      <c r="I65" s="211">
        <v>388.7</v>
      </c>
      <c r="J65" s="212" t="s">
        <v>7</v>
      </c>
      <c r="K65" s="48">
        <v>360</v>
      </c>
      <c r="L65" s="48">
        <f t="shared" ref="L65:L66" si="21">I65-K65</f>
        <v>28.699999999999989</v>
      </c>
      <c r="M65" s="48"/>
      <c r="N65" s="49"/>
      <c r="O65" s="49"/>
      <c r="P65" s="49"/>
      <c r="Q65" s="50">
        <f t="shared" si="0"/>
        <v>388.7</v>
      </c>
      <c r="R65" s="55" t="str">
        <f t="shared" si="1"/>
        <v>LUC</v>
      </c>
      <c r="S65" s="183"/>
      <c r="T65" s="40">
        <v>80000</v>
      </c>
      <c r="U65" s="40">
        <f t="shared" si="17"/>
        <v>31096000</v>
      </c>
      <c r="V65" s="96" t="s">
        <v>64</v>
      </c>
      <c r="W65" s="241" t="s">
        <v>24</v>
      </c>
      <c r="X65" s="242">
        <f t="shared" si="20"/>
        <v>388.7</v>
      </c>
      <c r="Y65" s="41">
        <v>9000</v>
      </c>
      <c r="Z65" s="42">
        <v>1</v>
      </c>
      <c r="AA65" s="40">
        <f t="shared" si="4"/>
        <v>3498300</v>
      </c>
      <c r="AB65" s="40">
        <f t="shared" si="6"/>
        <v>155480000</v>
      </c>
      <c r="AC65" s="40">
        <f t="shared" si="5"/>
        <v>5830500</v>
      </c>
      <c r="AD65" s="40">
        <f t="shared" si="7"/>
        <v>0</v>
      </c>
      <c r="AE65" s="56">
        <f t="shared" si="8"/>
        <v>195904800</v>
      </c>
      <c r="AF65" s="504"/>
      <c r="AG65" s="69"/>
      <c r="AH65" s="43"/>
      <c r="AI65" s="3"/>
      <c r="AJ65" s="4"/>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row>
    <row r="66" spans="1:249" s="2" customFormat="1" ht="30" customHeight="1" x14ac:dyDescent="0.25">
      <c r="A66" s="94">
        <v>18</v>
      </c>
      <c r="B66" s="95" t="s">
        <v>225</v>
      </c>
      <c r="C66" s="246"/>
      <c r="D66" s="246"/>
      <c r="E66" s="247"/>
      <c r="F66" s="249" t="s">
        <v>33</v>
      </c>
      <c r="G66" s="210">
        <v>29</v>
      </c>
      <c r="H66" s="210">
        <v>24</v>
      </c>
      <c r="I66" s="211">
        <v>421.2</v>
      </c>
      <c r="J66" s="212" t="s">
        <v>7</v>
      </c>
      <c r="K66" s="48">
        <v>360</v>
      </c>
      <c r="L66" s="48">
        <f t="shared" si="21"/>
        <v>61.199999999999989</v>
      </c>
      <c r="M66" s="48"/>
      <c r="N66" s="49"/>
      <c r="O66" s="49"/>
      <c r="P66" s="49"/>
      <c r="Q66" s="50">
        <f t="shared" si="0"/>
        <v>421.2</v>
      </c>
      <c r="R66" s="55" t="str">
        <f t="shared" si="1"/>
        <v>LUC</v>
      </c>
      <c r="S66" s="183"/>
      <c r="T66" s="40">
        <v>80000</v>
      </c>
      <c r="U66" s="40">
        <f t="shared" si="17"/>
        <v>33696000</v>
      </c>
      <c r="V66" s="96" t="s">
        <v>64</v>
      </c>
      <c r="W66" s="241" t="s">
        <v>24</v>
      </c>
      <c r="X66" s="242">
        <f t="shared" si="20"/>
        <v>421.2</v>
      </c>
      <c r="Y66" s="41">
        <v>9000</v>
      </c>
      <c r="Z66" s="42">
        <v>1</v>
      </c>
      <c r="AA66" s="40">
        <f t="shared" si="4"/>
        <v>3790800</v>
      </c>
      <c r="AB66" s="40">
        <f t="shared" si="6"/>
        <v>168480000</v>
      </c>
      <c r="AC66" s="40">
        <f t="shared" si="5"/>
        <v>6318000</v>
      </c>
      <c r="AD66" s="40">
        <f t="shared" si="7"/>
        <v>0</v>
      </c>
      <c r="AE66" s="56">
        <f t="shared" si="8"/>
        <v>212284800</v>
      </c>
      <c r="AF66" s="504"/>
      <c r="AG66" s="110"/>
      <c r="AH66" s="168"/>
      <c r="AI66" s="3"/>
      <c r="AJ66" s="4"/>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row>
    <row r="67" spans="1:249" s="2" customFormat="1" ht="66" customHeight="1" x14ac:dyDescent="0.25">
      <c r="A67" s="94">
        <v>18</v>
      </c>
      <c r="B67" s="95" t="s">
        <v>225</v>
      </c>
      <c r="C67" s="246">
        <v>4</v>
      </c>
      <c r="D67" s="246">
        <v>46</v>
      </c>
      <c r="E67" s="247">
        <v>1200</v>
      </c>
      <c r="F67" s="249" t="s">
        <v>33</v>
      </c>
      <c r="G67" s="210">
        <v>29</v>
      </c>
      <c r="H67" s="210">
        <v>857</v>
      </c>
      <c r="I67" s="211">
        <v>1361</v>
      </c>
      <c r="J67" s="212" t="s">
        <v>7</v>
      </c>
      <c r="K67" s="48">
        <v>892.6</v>
      </c>
      <c r="L67" s="48"/>
      <c r="M67" s="48"/>
      <c r="N67" s="49"/>
      <c r="O67" s="49"/>
      <c r="P67" s="49"/>
      <c r="Q67" s="50">
        <f t="shared" si="0"/>
        <v>892.6</v>
      </c>
      <c r="R67" s="55" t="str">
        <f t="shared" si="1"/>
        <v>LUC</v>
      </c>
      <c r="S67" s="183"/>
      <c r="T67" s="40">
        <v>80000</v>
      </c>
      <c r="U67" s="40">
        <f t="shared" si="17"/>
        <v>71408000</v>
      </c>
      <c r="V67" s="99" t="s">
        <v>259</v>
      </c>
      <c r="W67" s="243" t="s">
        <v>61</v>
      </c>
      <c r="X67" s="242">
        <v>179</v>
      </c>
      <c r="Y67" s="41">
        <v>34000</v>
      </c>
      <c r="Z67" s="42">
        <v>0.8</v>
      </c>
      <c r="AA67" s="40">
        <f t="shared" si="4"/>
        <v>4868800</v>
      </c>
      <c r="AB67" s="40">
        <f t="shared" si="6"/>
        <v>357040000</v>
      </c>
      <c r="AC67" s="40">
        <f t="shared" si="5"/>
        <v>13389000</v>
      </c>
      <c r="AD67" s="40">
        <f t="shared" si="7"/>
        <v>0</v>
      </c>
      <c r="AE67" s="56">
        <f t="shared" si="8"/>
        <v>446705800</v>
      </c>
      <c r="AF67" s="504"/>
      <c r="AG67" s="69" t="s">
        <v>226</v>
      </c>
      <c r="AH67" s="43">
        <f>Q67*9000</f>
        <v>8033400</v>
      </c>
      <c r="AI67" s="3"/>
      <c r="AJ67" s="4"/>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row>
    <row r="68" spans="1:249" s="2" customFormat="1" ht="90" x14ac:dyDescent="0.25">
      <c r="A68" s="94">
        <v>18</v>
      </c>
      <c r="B68" s="95" t="s">
        <v>225</v>
      </c>
      <c r="C68" s="246"/>
      <c r="D68" s="246"/>
      <c r="E68" s="247"/>
      <c r="F68" s="249" t="s">
        <v>33</v>
      </c>
      <c r="G68" s="210">
        <v>29</v>
      </c>
      <c r="H68" s="210">
        <v>857</v>
      </c>
      <c r="I68" s="211"/>
      <c r="J68" s="212"/>
      <c r="K68" s="48"/>
      <c r="L68" s="48"/>
      <c r="M68" s="48"/>
      <c r="N68" s="49"/>
      <c r="O68" s="49"/>
      <c r="P68" s="49"/>
      <c r="Q68" s="50"/>
      <c r="R68" s="55"/>
      <c r="S68" s="183"/>
      <c r="T68" s="40"/>
      <c r="U68" s="40"/>
      <c r="V68" s="99" t="s">
        <v>259</v>
      </c>
      <c r="W68" s="243" t="s">
        <v>61</v>
      </c>
      <c r="X68" s="242">
        <f>892-179</f>
        <v>713</v>
      </c>
      <c r="Y68" s="174">
        <f>34000*30%</f>
        <v>10200</v>
      </c>
      <c r="Z68" s="42">
        <v>0.8</v>
      </c>
      <c r="AA68" s="40">
        <f t="shared" si="4"/>
        <v>5818080</v>
      </c>
      <c r="AB68" s="40">
        <f t="shared" si="6"/>
        <v>0</v>
      </c>
      <c r="AC68" s="40">
        <f t="shared" si="5"/>
        <v>0</v>
      </c>
      <c r="AD68" s="40">
        <f t="shared" si="7"/>
        <v>0</v>
      </c>
      <c r="AE68" s="56">
        <f t="shared" si="8"/>
        <v>5818080</v>
      </c>
      <c r="AF68" s="504"/>
      <c r="AG68" s="264" t="s">
        <v>262</v>
      </c>
      <c r="AH68" s="43" t="s">
        <v>268</v>
      </c>
      <c r="AI68" s="3"/>
      <c r="AJ68" s="4"/>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row>
    <row r="69" spans="1:249" s="2" customFormat="1" ht="45" x14ac:dyDescent="0.25">
      <c r="A69" s="94">
        <v>19</v>
      </c>
      <c r="B69" s="95" t="s">
        <v>228</v>
      </c>
      <c r="C69" s="246">
        <v>5</v>
      </c>
      <c r="D69" s="246">
        <v>44</v>
      </c>
      <c r="E69" s="247">
        <v>120</v>
      </c>
      <c r="F69" s="215" t="s">
        <v>229</v>
      </c>
      <c r="G69" s="210">
        <v>29</v>
      </c>
      <c r="H69" s="210">
        <v>73</v>
      </c>
      <c r="I69" s="211">
        <v>213.5</v>
      </c>
      <c r="J69" s="213" t="s">
        <v>43</v>
      </c>
      <c r="K69" s="48">
        <v>11.7</v>
      </c>
      <c r="L69" s="48"/>
      <c r="M69" s="48"/>
      <c r="N69" s="49"/>
      <c r="O69" s="49"/>
      <c r="P69" s="49"/>
      <c r="Q69" s="50">
        <f t="shared" si="0"/>
        <v>11.7</v>
      </c>
      <c r="R69" s="55" t="s">
        <v>86</v>
      </c>
      <c r="S69" s="183"/>
      <c r="T69" s="40">
        <v>80000</v>
      </c>
      <c r="U69" s="40">
        <f>(K69+L69+N69+O69)*T69</f>
        <v>936000</v>
      </c>
      <c r="V69" s="96" t="s">
        <v>64</v>
      </c>
      <c r="W69" s="241" t="s">
        <v>24</v>
      </c>
      <c r="X69" s="242">
        <f t="shared" ref="X69" si="22">Q69</f>
        <v>11.7</v>
      </c>
      <c r="Y69" s="41">
        <v>9000</v>
      </c>
      <c r="Z69" s="42">
        <v>1</v>
      </c>
      <c r="AA69" s="40">
        <f t="shared" si="4"/>
        <v>105300</v>
      </c>
      <c r="AB69" s="40">
        <f t="shared" si="6"/>
        <v>4680000</v>
      </c>
      <c r="AC69" s="40">
        <f t="shared" si="5"/>
        <v>175500</v>
      </c>
      <c r="AD69" s="40">
        <f t="shared" si="7"/>
        <v>0</v>
      </c>
      <c r="AE69" s="56">
        <f t="shared" si="8"/>
        <v>5896800</v>
      </c>
      <c r="AF69" s="504">
        <f>SUM(AE69:AE74)</f>
        <v>614209850</v>
      </c>
      <c r="AG69" s="69" t="s">
        <v>272</v>
      </c>
      <c r="AH69" s="43">
        <f>70*7*3</f>
        <v>1470</v>
      </c>
      <c r="AI69" s="3"/>
      <c r="AJ69" s="4"/>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row>
    <row r="70" spans="1:249" s="2" customFormat="1" ht="51" customHeight="1" x14ac:dyDescent="0.25">
      <c r="A70" s="94">
        <v>19</v>
      </c>
      <c r="B70" s="95" t="s">
        <v>228</v>
      </c>
      <c r="C70" s="246">
        <v>5</v>
      </c>
      <c r="D70" s="246">
        <v>45</v>
      </c>
      <c r="E70" s="247">
        <v>108</v>
      </c>
      <c r="F70" s="214" t="s">
        <v>33</v>
      </c>
      <c r="G70" s="210">
        <v>29</v>
      </c>
      <c r="H70" s="210">
        <v>81</v>
      </c>
      <c r="I70" s="211">
        <v>223.5</v>
      </c>
      <c r="J70" s="213" t="s">
        <v>43</v>
      </c>
      <c r="K70" s="48">
        <v>5.4</v>
      </c>
      <c r="L70" s="48"/>
      <c r="M70" s="48"/>
      <c r="N70" s="49"/>
      <c r="O70" s="49"/>
      <c r="P70" s="49"/>
      <c r="Q70" s="50">
        <f t="shared" si="0"/>
        <v>5.4</v>
      </c>
      <c r="R70" s="55" t="s">
        <v>86</v>
      </c>
      <c r="S70" s="183"/>
      <c r="T70" s="40">
        <v>80000</v>
      </c>
      <c r="U70" s="40">
        <f>(K70+L70+N70+O70)*T70</f>
        <v>432000</v>
      </c>
      <c r="V70" s="99" t="s">
        <v>231</v>
      </c>
      <c r="W70" s="241" t="s">
        <v>61</v>
      </c>
      <c r="X70" s="242">
        <v>2</v>
      </c>
      <c r="Y70" s="41">
        <v>118000</v>
      </c>
      <c r="Z70" s="42">
        <v>0.8</v>
      </c>
      <c r="AA70" s="40">
        <f t="shared" si="4"/>
        <v>188800</v>
      </c>
      <c r="AB70" s="40">
        <f t="shared" si="6"/>
        <v>2160000</v>
      </c>
      <c r="AC70" s="40">
        <f t="shared" si="5"/>
        <v>81000</v>
      </c>
      <c r="AD70" s="40">
        <f t="shared" si="7"/>
        <v>0</v>
      </c>
      <c r="AE70" s="56">
        <f t="shared" si="8"/>
        <v>2861800</v>
      </c>
      <c r="AF70" s="504"/>
      <c r="AG70" s="69" t="s">
        <v>271</v>
      </c>
      <c r="AH70" s="43"/>
      <c r="AI70" s="3"/>
      <c r="AJ70" s="4"/>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row>
    <row r="71" spans="1:249" s="2" customFormat="1" ht="30" customHeight="1" x14ac:dyDescent="0.25">
      <c r="A71" s="94">
        <v>19</v>
      </c>
      <c r="B71" s="95" t="s">
        <v>228</v>
      </c>
      <c r="C71" s="246">
        <v>5</v>
      </c>
      <c r="D71" s="246">
        <v>66</v>
      </c>
      <c r="E71" s="247">
        <v>360</v>
      </c>
      <c r="F71" s="214" t="s">
        <v>33</v>
      </c>
      <c r="G71" s="210">
        <v>29</v>
      </c>
      <c r="H71" s="210">
        <v>35</v>
      </c>
      <c r="I71" s="211">
        <v>358.6</v>
      </c>
      <c r="J71" s="213" t="s">
        <v>7</v>
      </c>
      <c r="K71" s="48">
        <v>358.6</v>
      </c>
      <c r="L71" s="48"/>
      <c r="M71" s="48"/>
      <c r="N71" s="49"/>
      <c r="O71" s="49"/>
      <c r="P71" s="49"/>
      <c r="Q71" s="50">
        <f t="shared" si="0"/>
        <v>358.6</v>
      </c>
      <c r="R71" s="55" t="str">
        <f t="shared" si="1"/>
        <v>LUC</v>
      </c>
      <c r="S71" s="183"/>
      <c r="T71" s="40">
        <v>80000</v>
      </c>
      <c r="U71" s="40">
        <f t="shared" ref="U71:U96" si="23">(K71+L71+N71+O71)*T71</f>
        <v>28688000</v>
      </c>
      <c r="V71" s="96" t="s">
        <v>64</v>
      </c>
      <c r="W71" s="241" t="s">
        <v>24</v>
      </c>
      <c r="X71" s="242">
        <f t="shared" ref="X71:X72" si="24">Q71</f>
        <v>358.6</v>
      </c>
      <c r="Y71" s="41">
        <v>9000</v>
      </c>
      <c r="Z71" s="42">
        <v>1</v>
      </c>
      <c r="AA71" s="40">
        <f t="shared" si="4"/>
        <v>3227400</v>
      </c>
      <c r="AB71" s="40">
        <f t="shared" si="6"/>
        <v>143440000</v>
      </c>
      <c r="AC71" s="40">
        <f t="shared" si="5"/>
        <v>5379000</v>
      </c>
      <c r="AD71" s="40">
        <f t="shared" si="7"/>
        <v>0</v>
      </c>
      <c r="AE71" s="56">
        <f t="shared" si="8"/>
        <v>180734400</v>
      </c>
      <c r="AF71" s="504"/>
      <c r="AG71" s="6"/>
      <c r="AH71" s="6">
        <f>358.6-360</f>
        <v>-1.3999999999999773</v>
      </c>
      <c r="AI71" s="3"/>
      <c r="AJ71" s="4"/>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row>
    <row r="72" spans="1:249" s="2" customFormat="1" ht="70.5" customHeight="1" x14ac:dyDescent="0.25">
      <c r="A72" s="94">
        <v>19</v>
      </c>
      <c r="B72" s="95" t="s">
        <v>228</v>
      </c>
      <c r="C72" s="246">
        <v>5</v>
      </c>
      <c r="D72" s="246">
        <v>113</v>
      </c>
      <c r="E72" s="247">
        <v>648</v>
      </c>
      <c r="F72" s="215" t="s">
        <v>201</v>
      </c>
      <c r="G72" s="210">
        <v>28</v>
      </c>
      <c r="H72" s="210">
        <v>686</v>
      </c>
      <c r="I72" s="211">
        <v>728.9</v>
      </c>
      <c r="J72" s="213" t="s">
        <v>7</v>
      </c>
      <c r="K72" s="48">
        <f>648-298.4</f>
        <v>349.6</v>
      </c>
      <c r="L72" s="48">
        <f>I72-K72-298.4</f>
        <v>80.899999999999977</v>
      </c>
      <c r="M72" s="48"/>
      <c r="N72" s="49"/>
      <c r="O72" s="49"/>
      <c r="P72" s="49"/>
      <c r="Q72" s="50">
        <f t="shared" si="0"/>
        <v>430.5</v>
      </c>
      <c r="R72" s="55" t="str">
        <f t="shared" si="1"/>
        <v>LUC</v>
      </c>
      <c r="S72" s="183">
        <v>298.39999999999998</v>
      </c>
      <c r="T72" s="40">
        <v>80000</v>
      </c>
      <c r="U72" s="40">
        <f t="shared" si="23"/>
        <v>34440000</v>
      </c>
      <c r="V72" s="96" t="s">
        <v>64</v>
      </c>
      <c r="W72" s="241" t="s">
        <v>24</v>
      </c>
      <c r="X72" s="242">
        <f t="shared" si="24"/>
        <v>430.5</v>
      </c>
      <c r="Y72" s="41">
        <v>9000</v>
      </c>
      <c r="Z72" s="42">
        <v>1</v>
      </c>
      <c r="AA72" s="40">
        <f t="shared" si="4"/>
        <v>3874500</v>
      </c>
      <c r="AB72" s="40">
        <f t="shared" si="6"/>
        <v>172200000</v>
      </c>
      <c r="AC72" s="40">
        <f t="shared" si="5"/>
        <v>6457500</v>
      </c>
      <c r="AD72" s="40">
        <f t="shared" si="7"/>
        <v>0</v>
      </c>
      <c r="AE72" s="56">
        <f t="shared" si="8"/>
        <v>216972000</v>
      </c>
      <c r="AF72" s="504"/>
      <c r="AG72" s="44" t="s">
        <v>148</v>
      </c>
      <c r="AH72" s="43"/>
      <c r="AI72" s="3"/>
      <c r="AJ72" s="4"/>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row>
    <row r="73" spans="1:249" s="2" customFormat="1" ht="24" x14ac:dyDescent="0.25">
      <c r="A73" s="94">
        <v>19</v>
      </c>
      <c r="B73" s="95" t="s">
        <v>228</v>
      </c>
      <c r="C73" s="246">
        <v>5</v>
      </c>
      <c r="D73" s="246">
        <v>33</v>
      </c>
      <c r="E73" s="247">
        <v>360</v>
      </c>
      <c r="F73" s="214" t="s">
        <v>33</v>
      </c>
      <c r="G73" s="210">
        <v>29</v>
      </c>
      <c r="H73" s="210">
        <v>29</v>
      </c>
      <c r="I73" s="211">
        <v>671.3</v>
      </c>
      <c r="J73" s="213" t="s">
        <v>7</v>
      </c>
      <c r="K73" s="48">
        <v>360</v>
      </c>
      <c r="L73" s="48"/>
      <c r="M73" s="48"/>
      <c r="N73" s="49"/>
      <c r="O73" s="49"/>
      <c r="P73" s="49"/>
      <c r="Q73" s="50">
        <f t="shared" si="0"/>
        <v>360</v>
      </c>
      <c r="R73" s="55" t="str">
        <f t="shared" si="1"/>
        <v>LUC</v>
      </c>
      <c r="S73" s="183"/>
      <c r="T73" s="40">
        <v>80000</v>
      </c>
      <c r="U73" s="40">
        <f t="shared" si="23"/>
        <v>28800000</v>
      </c>
      <c r="V73" s="158" t="s">
        <v>64</v>
      </c>
      <c r="W73" s="241" t="s">
        <v>24</v>
      </c>
      <c r="X73" s="242">
        <f>Q73</f>
        <v>360</v>
      </c>
      <c r="Y73" s="41">
        <v>9000</v>
      </c>
      <c r="Z73" s="42">
        <v>1</v>
      </c>
      <c r="AA73" s="40">
        <f t="shared" si="4"/>
        <v>3240000</v>
      </c>
      <c r="AB73" s="40">
        <f t="shared" si="6"/>
        <v>144000000</v>
      </c>
      <c r="AC73" s="40">
        <f t="shared" si="5"/>
        <v>5400000</v>
      </c>
      <c r="AD73" s="40">
        <f t="shared" si="7"/>
        <v>0</v>
      </c>
      <c r="AE73" s="56">
        <f t="shared" si="8"/>
        <v>181440000</v>
      </c>
      <c r="AF73" s="504"/>
      <c r="AG73" s="164" t="s">
        <v>47</v>
      </c>
      <c r="AH73" s="43"/>
      <c r="AI73" s="3"/>
      <c r="AJ73" s="4"/>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row>
    <row r="74" spans="1:249" s="2" customFormat="1" ht="56.25" x14ac:dyDescent="0.25">
      <c r="A74" s="94">
        <v>19</v>
      </c>
      <c r="B74" s="95" t="s">
        <v>228</v>
      </c>
      <c r="C74" s="246"/>
      <c r="D74" s="246"/>
      <c r="E74" s="247"/>
      <c r="F74" s="214" t="s">
        <v>33</v>
      </c>
      <c r="G74" s="210">
        <v>29</v>
      </c>
      <c r="H74" s="210">
        <v>29</v>
      </c>
      <c r="I74" s="211">
        <v>671.3</v>
      </c>
      <c r="J74" s="213" t="s">
        <v>7</v>
      </c>
      <c r="K74" s="48"/>
      <c r="L74" s="48"/>
      <c r="M74" s="420">
        <v>311.3</v>
      </c>
      <c r="N74" s="49"/>
      <c r="O74" s="49"/>
      <c r="P74" s="49"/>
      <c r="Q74" s="50">
        <f t="shared" si="0"/>
        <v>311.3</v>
      </c>
      <c r="R74" s="55" t="str">
        <f t="shared" si="1"/>
        <v>LUC</v>
      </c>
      <c r="S74" s="183"/>
      <c r="T74" s="40">
        <v>80000</v>
      </c>
      <c r="U74" s="40">
        <f t="shared" si="23"/>
        <v>0</v>
      </c>
      <c r="V74" s="158" t="s">
        <v>64</v>
      </c>
      <c r="W74" s="241" t="s">
        <v>24</v>
      </c>
      <c r="X74" s="242">
        <f>Q74</f>
        <v>311.3</v>
      </c>
      <c r="Y74" s="41">
        <v>9000</v>
      </c>
      <c r="Z74" s="70">
        <v>0.5</v>
      </c>
      <c r="AA74" s="40">
        <f t="shared" si="4"/>
        <v>1400850</v>
      </c>
      <c r="AB74" s="40">
        <f t="shared" si="6"/>
        <v>0</v>
      </c>
      <c r="AC74" s="40">
        <f t="shared" si="5"/>
        <v>0</v>
      </c>
      <c r="AD74" s="40">
        <f t="shared" ref="AD74:AD114" si="25">(M74+P74)*T74*100%</f>
        <v>24904000</v>
      </c>
      <c r="AE74" s="56">
        <f t="shared" si="8"/>
        <v>26304850</v>
      </c>
      <c r="AF74" s="504"/>
      <c r="AG74" s="264" t="s">
        <v>424</v>
      </c>
      <c r="AH74" s="43"/>
      <c r="AI74" s="3"/>
      <c r="AJ74" s="4"/>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row>
    <row r="75" spans="1:249" s="2" customFormat="1" ht="36" customHeight="1" x14ac:dyDescent="0.25">
      <c r="A75" s="94">
        <v>20</v>
      </c>
      <c r="B75" s="95" t="s">
        <v>232</v>
      </c>
      <c r="C75" s="246">
        <v>5</v>
      </c>
      <c r="D75" s="246">
        <v>31</v>
      </c>
      <c r="E75" s="247">
        <v>120</v>
      </c>
      <c r="F75" s="249" t="s">
        <v>44</v>
      </c>
      <c r="G75" s="210">
        <v>28</v>
      </c>
      <c r="H75" s="210">
        <v>536</v>
      </c>
      <c r="I75" s="211">
        <v>124.4</v>
      </c>
      <c r="J75" s="212" t="s">
        <v>48</v>
      </c>
      <c r="K75" s="48">
        <v>120</v>
      </c>
      <c r="L75" s="48">
        <v>4.4000000000000004</v>
      </c>
      <c r="M75" s="48"/>
      <c r="N75" s="49"/>
      <c r="O75" s="49"/>
      <c r="P75" s="49"/>
      <c r="Q75" s="50">
        <f t="shared" si="0"/>
        <v>124.4</v>
      </c>
      <c r="R75" s="55" t="str">
        <f t="shared" si="1"/>
        <v>LUK</v>
      </c>
      <c r="S75" s="183"/>
      <c r="T75" s="40">
        <v>80000</v>
      </c>
      <c r="U75" s="40">
        <f t="shared" si="23"/>
        <v>9952000</v>
      </c>
      <c r="V75" s="158" t="s">
        <v>64</v>
      </c>
      <c r="W75" s="241" t="s">
        <v>24</v>
      </c>
      <c r="X75" s="242">
        <f>Q75</f>
        <v>124.4</v>
      </c>
      <c r="Y75" s="41">
        <v>9000</v>
      </c>
      <c r="Z75" s="42">
        <v>1</v>
      </c>
      <c r="AA75" s="40">
        <f t="shared" si="4"/>
        <v>1119600</v>
      </c>
      <c r="AB75" s="40">
        <f t="shared" si="6"/>
        <v>49760000</v>
      </c>
      <c r="AC75" s="40">
        <f t="shared" si="5"/>
        <v>1866000</v>
      </c>
      <c r="AD75" s="40">
        <f t="shared" si="25"/>
        <v>0</v>
      </c>
      <c r="AE75" s="56">
        <f t="shared" si="8"/>
        <v>62697600</v>
      </c>
      <c r="AF75" s="56">
        <f>AE75</f>
        <v>62697600</v>
      </c>
      <c r="AG75" s="6"/>
      <c r="AH75" s="43"/>
      <c r="AI75" s="3"/>
      <c r="AJ75" s="4"/>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row>
    <row r="76" spans="1:249" s="2" customFormat="1" ht="30" customHeight="1" x14ac:dyDescent="0.2">
      <c r="A76" s="94">
        <v>21</v>
      </c>
      <c r="B76" s="95" t="s">
        <v>247</v>
      </c>
      <c r="C76" s="246">
        <v>5</v>
      </c>
      <c r="D76" s="246">
        <v>68</v>
      </c>
      <c r="E76" s="247">
        <v>780</v>
      </c>
      <c r="F76" s="214" t="s">
        <v>33</v>
      </c>
      <c r="G76" s="210">
        <v>29</v>
      </c>
      <c r="H76" s="210">
        <v>21</v>
      </c>
      <c r="I76" s="211">
        <v>1363.6</v>
      </c>
      <c r="J76" s="213" t="s">
        <v>7</v>
      </c>
      <c r="K76" s="48">
        <v>780</v>
      </c>
      <c r="L76" s="48">
        <f>I76-K76</f>
        <v>583.59999999999991</v>
      </c>
      <c r="M76" s="48"/>
      <c r="N76" s="49"/>
      <c r="O76" s="49"/>
      <c r="P76" s="49"/>
      <c r="Q76" s="50">
        <f t="shared" si="0"/>
        <v>1363.6</v>
      </c>
      <c r="R76" s="55" t="str">
        <f t="shared" si="1"/>
        <v>LUC</v>
      </c>
      <c r="S76" s="184"/>
      <c r="T76" s="40">
        <v>80000</v>
      </c>
      <c r="U76" s="40">
        <f t="shared" si="23"/>
        <v>109088000</v>
      </c>
      <c r="V76" s="158" t="s">
        <v>64</v>
      </c>
      <c r="W76" s="241" t="s">
        <v>24</v>
      </c>
      <c r="X76" s="242">
        <f t="shared" ref="X76" si="26">Q76</f>
        <v>1363.6</v>
      </c>
      <c r="Y76" s="41">
        <v>9000</v>
      </c>
      <c r="Z76" s="42">
        <v>1</v>
      </c>
      <c r="AA76" s="40">
        <f t="shared" si="4"/>
        <v>12272400</v>
      </c>
      <c r="AB76" s="40">
        <f t="shared" si="6"/>
        <v>545440000</v>
      </c>
      <c r="AC76" s="40">
        <f t="shared" si="5"/>
        <v>20454000</v>
      </c>
      <c r="AD76" s="40">
        <f t="shared" si="25"/>
        <v>0</v>
      </c>
      <c r="AE76" s="56">
        <f t="shared" si="8"/>
        <v>687254400</v>
      </c>
      <c r="AF76" s="504">
        <f>SUM(AE76:AE81)</f>
        <v>1113202100</v>
      </c>
      <c r="AG76" s="6"/>
      <c r="AH76" s="167"/>
      <c r="AI76" s="3"/>
      <c r="AJ76" s="4"/>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row>
    <row r="77" spans="1:249" s="2" customFormat="1" ht="30" customHeight="1" x14ac:dyDescent="0.25">
      <c r="A77" s="94">
        <v>21</v>
      </c>
      <c r="B77" s="95" t="s">
        <v>247</v>
      </c>
      <c r="C77" s="246"/>
      <c r="D77" s="246"/>
      <c r="E77" s="247"/>
      <c r="F77" s="214" t="s">
        <v>33</v>
      </c>
      <c r="G77" s="210">
        <v>29</v>
      </c>
      <c r="H77" s="210">
        <v>42</v>
      </c>
      <c r="I77" s="211">
        <v>257.8</v>
      </c>
      <c r="J77" s="213" t="s">
        <v>7</v>
      </c>
      <c r="K77" s="48"/>
      <c r="L77" s="48">
        <v>257.8</v>
      </c>
      <c r="M77" s="48"/>
      <c r="N77" s="49"/>
      <c r="O77" s="49"/>
      <c r="P77" s="49"/>
      <c r="Q77" s="50">
        <f t="shared" si="0"/>
        <v>257.8</v>
      </c>
      <c r="R77" s="55" t="str">
        <f t="shared" si="1"/>
        <v>LUC</v>
      </c>
      <c r="S77" s="185"/>
      <c r="T77" s="40">
        <v>80000</v>
      </c>
      <c r="U77" s="40">
        <f t="shared" si="23"/>
        <v>20624000</v>
      </c>
      <c r="V77" s="158" t="s">
        <v>64</v>
      </c>
      <c r="W77" s="241" t="s">
        <v>24</v>
      </c>
      <c r="X77" s="242">
        <f>Q77</f>
        <v>257.8</v>
      </c>
      <c r="Y77" s="41">
        <v>9000</v>
      </c>
      <c r="Z77" s="42">
        <v>1</v>
      </c>
      <c r="AA77" s="40">
        <f t="shared" si="4"/>
        <v>2320200</v>
      </c>
      <c r="AB77" s="40">
        <f t="shared" si="6"/>
        <v>103120000</v>
      </c>
      <c r="AC77" s="40">
        <f t="shared" si="5"/>
        <v>3867000</v>
      </c>
      <c r="AD77" s="40">
        <f t="shared" si="25"/>
        <v>0</v>
      </c>
      <c r="AE77" s="56">
        <f t="shared" si="8"/>
        <v>129931200</v>
      </c>
      <c r="AF77" s="504"/>
      <c r="AG77" s="69" t="s">
        <v>325</v>
      </c>
      <c r="AH77" s="43"/>
      <c r="AI77" s="3"/>
      <c r="AJ77" s="4"/>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row>
    <row r="78" spans="1:249" s="2" customFormat="1" ht="33.75" x14ac:dyDescent="0.25">
      <c r="A78" s="94">
        <v>21</v>
      </c>
      <c r="B78" s="95" t="s">
        <v>247</v>
      </c>
      <c r="C78" s="246">
        <v>5</v>
      </c>
      <c r="D78" s="246">
        <v>33</v>
      </c>
      <c r="E78" s="247">
        <v>120</v>
      </c>
      <c r="F78" s="214" t="s">
        <v>33</v>
      </c>
      <c r="G78" s="210">
        <v>29</v>
      </c>
      <c r="H78" s="210">
        <v>53</v>
      </c>
      <c r="I78" s="211">
        <v>189.7</v>
      </c>
      <c r="J78" s="213" t="s">
        <v>7</v>
      </c>
      <c r="K78" s="48">
        <v>120</v>
      </c>
      <c r="L78" s="48">
        <v>50.4</v>
      </c>
      <c r="M78" s="48"/>
      <c r="N78" s="49"/>
      <c r="O78" s="49">
        <f>I78-K78-L78</f>
        <v>19.29999999999999</v>
      </c>
      <c r="P78" s="49"/>
      <c r="Q78" s="50">
        <f t="shared" si="0"/>
        <v>189.7</v>
      </c>
      <c r="R78" s="55" t="str">
        <f t="shared" si="1"/>
        <v>LUC</v>
      </c>
      <c r="S78" s="185"/>
      <c r="T78" s="40">
        <v>80000</v>
      </c>
      <c r="U78" s="40">
        <f t="shared" si="23"/>
        <v>15176000</v>
      </c>
      <c r="V78" s="158" t="s">
        <v>64</v>
      </c>
      <c r="W78" s="241" t="s">
        <v>24</v>
      </c>
      <c r="X78" s="242">
        <f>Q78</f>
        <v>189.7</v>
      </c>
      <c r="Y78" s="41">
        <v>9000</v>
      </c>
      <c r="Z78" s="42">
        <v>1</v>
      </c>
      <c r="AA78" s="40">
        <f t="shared" si="4"/>
        <v>1707300</v>
      </c>
      <c r="AB78" s="40">
        <f t="shared" si="6"/>
        <v>75880000</v>
      </c>
      <c r="AC78" s="40">
        <f t="shared" si="5"/>
        <v>2845500</v>
      </c>
      <c r="AD78" s="40">
        <f t="shared" si="25"/>
        <v>0</v>
      </c>
      <c r="AE78" s="56">
        <f t="shared" si="8"/>
        <v>95608800</v>
      </c>
      <c r="AF78" s="504"/>
      <c r="AG78" s="69" t="s">
        <v>428</v>
      </c>
      <c r="AH78" s="43"/>
      <c r="AI78" s="3"/>
      <c r="AJ78" s="4"/>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row>
    <row r="79" spans="1:249" s="2" customFormat="1" ht="101.25" x14ac:dyDescent="0.25">
      <c r="A79" s="94">
        <v>21</v>
      </c>
      <c r="B79" s="95" t="s">
        <v>247</v>
      </c>
      <c r="C79" s="246">
        <v>4</v>
      </c>
      <c r="D79" s="246">
        <v>211</v>
      </c>
      <c r="E79" s="247">
        <v>324</v>
      </c>
      <c r="F79" s="214" t="s">
        <v>44</v>
      </c>
      <c r="G79" s="210">
        <v>28</v>
      </c>
      <c r="H79" s="210">
        <v>600</v>
      </c>
      <c r="I79" s="211">
        <v>358.1</v>
      </c>
      <c r="J79" s="213" t="s">
        <v>48</v>
      </c>
      <c r="K79" s="48">
        <v>21.6</v>
      </c>
      <c r="L79" s="48"/>
      <c r="M79" s="48"/>
      <c r="N79" s="49">
        <f>E79-S79-K79</f>
        <v>60.800000000000004</v>
      </c>
      <c r="O79" s="49">
        <v>34.1</v>
      </c>
      <c r="P79" s="49"/>
      <c r="Q79" s="50">
        <f t="shared" si="0"/>
        <v>116.5</v>
      </c>
      <c r="R79" s="55" t="str">
        <f t="shared" si="1"/>
        <v>LUK</v>
      </c>
      <c r="S79" s="185">
        <v>241.6</v>
      </c>
      <c r="T79" s="40">
        <v>80000</v>
      </c>
      <c r="U79" s="40">
        <f t="shared" si="23"/>
        <v>9320000</v>
      </c>
      <c r="V79" s="158" t="s">
        <v>64</v>
      </c>
      <c r="W79" s="241" t="s">
        <v>24</v>
      </c>
      <c r="X79" s="242">
        <f>Q79</f>
        <v>116.5</v>
      </c>
      <c r="Y79" s="41">
        <v>9000</v>
      </c>
      <c r="Z79" s="42">
        <v>1</v>
      </c>
      <c r="AA79" s="40">
        <f t="shared" si="4"/>
        <v>1048500</v>
      </c>
      <c r="AB79" s="40">
        <f t="shared" si="6"/>
        <v>46600000</v>
      </c>
      <c r="AC79" s="40">
        <f t="shared" si="5"/>
        <v>1747500</v>
      </c>
      <c r="AD79" s="40">
        <f t="shared" si="25"/>
        <v>0</v>
      </c>
      <c r="AE79" s="56">
        <f t="shared" si="8"/>
        <v>58716000</v>
      </c>
      <c r="AF79" s="504"/>
      <c r="AG79" s="69" t="s">
        <v>427</v>
      </c>
      <c r="AH79" s="43">
        <f>358.1-263.2</f>
        <v>94.900000000000034</v>
      </c>
      <c r="AI79" s="3"/>
      <c r="AJ79" s="4"/>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row>
    <row r="80" spans="1:249" s="2" customFormat="1" ht="67.5" x14ac:dyDescent="0.25">
      <c r="A80" s="94">
        <v>21</v>
      </c>
      <c r="B80" s="95" t="s">
        <v>247</v>
      </c>
      <c r="C80" s="246">
        <v>5</v>
      </c>
      <c r="D80" s="246">
        <v>136</v>
      </c>
      <c r="E80" s="247">
        <v>276</v>
      </c>
      <c r="F80" s="215" t="s">
        <v>38</v>
      </c>
      <c r="G80" s="210">
        <v>28</v>
      </c>
      <c r="H80" s="210">
        <v>775</v>
      </c>
      <c r="I80" s="211">
        <v>313.10000000000002</v>
      </c>
      <c r="J80" s="213" t="s">
        <v>7</v>
      </c>
      <c r="K80" s="48">
        <f>276-37.6</f>
        <v>238.4</v>
      </c>
      <c r="L80" s="48">
        <f>I80-K80-S80</f>
        <v>37.100000000000016</v>
      </c>
      <c r="M80" s="48"/>
      <c r="N80" s="49"/>
      <c r="O80" s="49"/>
      <c r="P80" s="49"/>
      <c r="Q80" s="50">
        <f t="shared" si="0"/>
        <v>275.5</v>
      </c>
      <c r="R80" s="55" t="str">
        <f t="shared" si="1"/>
        <v>LUC</v>
      </c>
      <c r="S80" s="185">
        <v>37.6</v>
      </c>
      <c r="T80" s="40">
        <v>80000</v>
      </c>
      <c r="U80" s="40">
        <f t="shared" si="23"/>
        <v>22040000</v>
      </c>
      <c r="V80" s="240" t="s">
        <v>250</v>
      </c>
      <c r="W80" s="241" t="s">
        <v>61</v>
      </c>
      <c r="X80" s="242">
        <v>11</v>
      </c>
      <c r="Y80" s="41">
        <v>305000</v>
      </c>
      <c r="Z80" s="42">
        <v>0.8</v>
      </c>
      <c r="AA80" s="40">
        <f t="shared" si="4"/>
        <v>2684000</v>
      </c>
      <c r="AB80" s="40">
        <f t="shared" si="6"/>
        <v>110200000</v>
      </c>
      <c r="AC80" s="40">
        <f t="shared" si="5"/>
        <v>4132500</v>
      </c>
      <c r="AD80" s="40">
        <f t="shared" si="25"/>
        <v>0</v>
      </c>
      <c r="AE80" s="56">
        <f t="shared" si="8"/>
        <v>139056500</v>
      </c>
      <c r="AF80" s="504"/>
      <c r="AG80" s="44" t="s">
        <v>181</v>
      </c>
      <c r="AH80" s="43"/>
      <c r="AI80" s="3"/>
      <c r="AJ80" s="4"/>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row>
    <row r="81" spans="1:249" s="2" customFormat="1" ht="90" x14ac:dyDescent="0.25">
      <c r="A81" s="94">
        <v>21</v>
      </c>
      <c r="B81" s="95" t="s">
        <v>247</v>
      </c>
      <c r="C81" s="246"/>
      <c r="D81" s="246"/>
      <c r="E81" s="247"/>
      <c r="F81" s="215" t="s">
        <v>38</v>
      </c>
      <c r="G81" s="210">
        <v>28</v>
      </c>
      <c r="H81" s="210">
        <v>775</v>
      </c>
      <c r="I81" s="211"/>
      <c r="J81" s="212"/>
      <c r="K81" s="48"/>
      <c r="L81" s="48"/>
      <c r="M81" s="48"/>
      <c r="N81" s="49"/>
      <c r="O81" s="49"/>
      <c r="P81" s="49"/>
      <c r="Q81" s="50">
        <f t="shared" si="0"/>
        <v>0</v>
      </c>
      <c r="R81" s="55">
        <f t="shared" si="1"/>
        <v>0</v>
      </c>
      <c r="S81" s="183"/>
      <c r="T81" s="40"/>
      <c r="U81" s="40">
        <f>(K81+L81+N81+O81)*T81</f>
        <v>0</v>
      </c>
      <c r="V81" s="240" t="s">
        <v>250</v>
      </c>
      <c r="W81" s="241" t="s">
        <v>61</v>
      </c>
      <c r="X81" s="242">
        <v>12</v>
      </c>
      <c r="Y81" s="174">
        <f>305000*90%</f>
        <v>274500</v>
      </c>
      <c r="Z81" s="42">
        <v>0.8</v>
      </c>
      <c r="AA81" s="40">
        <f t="shared" si="4"/>
        <v>2635200</v>
      </c>
      <c r="AB81" s="40">
        <f t="shared" si="6"/>
        <v>0</v>
      </c>
      <c r="AC81" s="40">
        <f t="shared" si="5"/>
        <v>0</v>
      </c>
      <c r="AD81" s="40">
        <f t="shared" si="25"/>
        <v>0</v>
      </c>
      <c r="AE81" s="56">
        <f t="shared" si="8"/>
        <v>2635200</v>
      </c>
      <c r="AF81" s="504"/>
      <c r="AG81" s="264" t="s">
        <v>265</v>
      </c>
      <c r="AH81" s="43"/>
      <c r="AI81" s="3"/>
      <c r="AJ81" s="4"/>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row>
    <row r="82" spans="1:249" s="2" customFormat="1" ht="27" customHeight="1" x14ac:dyDescent="0.25">
      <c r="A82" s="94">
        <v>22</v>
      </c>
      <c r="B82" s="95" t="s">
        <v>233</v>
      </c>
      <c r="C82" s="246">
        <v>5</v>
      </c>
      <c r="D82" s="246">
        <v>65</v>
      </c>
      <c r="E82" s="247">
        <v>144</v>
      </c>
      <c r="F82" s="214" t="s">
        <v>33</v>
      </c>
      <c r="G82" s="210">
        <v>29</v>
      </c>
      <c r="H82" s="210">
        <v>56</v>
      </c>
      <c r="I82" s="211">
        <v>142.5</v>
      </c>
      <c r="J82" s="213" t="s">
        <v>7</v>
      </c>
      <c r="K82" s="48">
        <v>142.5</v>
      </c>
      <c r="L82" s="48"/>
      <c r="M82" s="48"/>
      <c r="N82" s="49"/>
      <c r="O82" s="49"/>
      <c r="P82" s="49"/>
      <c r="Q82" s="50">
        <f t="shared" si="0"/>
        <v>142.5</v>
      </c>
      <c r="R82" s="55" t="str">
        <f t="shared" si="1"/>
        <v>LUC</v>
      </c>
      <c r="S82" s="183"/>
      <c r="T82" s="40">
        <v>80000</v>
      </c>
      <c r="U82" s="40">
        <f t="shared" si="23"/>
        <v>11400000</v>
      </c>
      <c r="V82" s="158" t="s">
        <v>64</v>
      </c>
      <c r="W82" s="241" t="s">
        <v>24</v>
      </c>
      <c r="X82" s="242">
        <f t="shared" ref="X82:X84" si="27">Q82</f>
        <v>142.5</v>
      </c>
      <c r="Y82" s="41">
        <v>9000</v>
      </c>
      <c r="Z82" s="42">
        <v>1</v>
      </c>
      <c r="AA82" s="40">
        <f t="shared" si="4"/>
        <v>1282500</v>
      </c>
      <c r="AB82" s="40">
        <f t="shared" si="6"/>
        <v>57000000</v>
      </c>
      <c r="AC82" s="40">
        <f t="shared" si="5"/>
        <v>2137500</v>
      </c>
      <c r="AD82" s="40">
        <f t="shared" si="25"/>
        <v>0</v>
      </c>
      <c r="AE82" s="56">
        <f t="shared" si="8"/>
        <v>71820000</v>
      </c>
      <c r="AF82" s="504">
        <f>SUM(AE82:AE84)</f>
        <v>573804000</v>
      </c>
      <c r="AG82" s="6"/>
      <c r="AH82" s="167"/>
      <c r="AI82" s="3"/>
      <c r="AJ82" s="4"/>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row>
    <row r="83" spans="1:249" s="2" customFormat="1" ht="27" customHeight="1" x14ac:dyDescent="0.25">
      <c r="A83" s="94">
        <v>22</v>
      </c>
      <c r="B83" s="95" t="s">
        <v>233</v>
      </c>
      <c r="C83" s="246">
        <v>5</v>
      </c>
      <c r="D83" s="246">
        <v>103</v>
      </c>
      <c r="E83" s="247">
        <v>840</v>
      </c>
      <c r="F83" s="214" t="s">
        <v>33</v>
      </c>
      <c r="G83" s="210">
        <v>28</v>
      </c>
      <c r="H83" s="210">
        <v>538</v>
      </c>
      <c r="I83" s="211">
        <v>863.1</v>
      </c>
      <c r="J83" s="213" t="s">
        <v>7</v>
      </c>
      <c r="K83" s="48">
        <v>840</v>
      </c>
      <c r="L83" s="48">
        <f>I83-K83</f>
        <v>23.100000000000023</v>
      </c>
      <c r="M83" s="48"/>
      <c r="N83" s="49"/>
      <c r="O83" s="49"/>
      <c r="P83" s="49"/>
      <c r="Q83" s="50">
        <f t="shared" si="0"/>
        <v>863.1</v>
      </c>
      <c r="R83" s="55" t="str">
        <f t="shared" si="1"/>
        <v>LUC</v>
      </c>
      <c r="S83" s="183"/>
      <c r="T83" s="40">
        <v>80000</v>
      </c>
      <c r="U83" s="40">
        <f t="shared" si="23"/>
        <v>69048000</v>
      </c>
      <c r="V83" s="158" t="s">
        <v>64</v>
      </c>
      <c r="W83" s="241" t="s">
        <v>24</v>
      </c>
      <c r="X83" s="242">
        <f t="shared" si="27"/>
        <v>863.1</v>
      </c>
      <c r="Y83" s="41">
        <v>9000</v>
      </c>
      <c r="Z83" s="42">
        <v>1</v>
      </c>
      <c r="AA83" s="40">
        <f t="shared" si="4"/>
        <v>7767900</v>
      </c>
      <c r="AB83" s="40">
        <f t="shared" si="6"/>
        <v>345240000</v>
      </c>
      <c r="AC83" s="40">
        <f t="shared" si="5"/>
        <v>12946500</v>
      </c>
      <c r="AD83" s="40">
        <f t="shared" si="25"/>
        <v>0</v>
      </c>
      <c r="AE83" s="56">
        <f t="shared" si="8"/>
        <v>435002400</v>
      </c>
      <c r="AF83" s="504"/>
      <c r="AG83" s="6"/>
      <c r="AH83" s="167"/>
      <c r="AI83" s="3"/>
      <c r="AJ83" s="4"/>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row>
    <row r="84" spans="1:249" s="2" customFormat="1" ht="27" customHeight="1" x14ac:dyDescent="0.25">
      <c r="A84" s="94">
        <v>22</v>
      </c>
      <c r="B84" s="95" t="s">
        <v>233</v>
      </c>
      <c r="C84" s="246">
        <v>5</v>
      </c>
      <c r="D84" s="246">
        <v>131</v>
      </c>
      <c r="E84" s="247">
        <v>120</v>
      </c>
      <c r="F84" s="214" t="s">
        <v>44</v>
      </c>
      <c r="G84" s="210">
        <v>28</v>
      </c>
      <c r="H84" s="210">
        <v>463</v>
      </c>
      <c r="I84" s="211">
        <v>132.9</v>
      </c>
      <c r="J84" s="212" t="s">
        <v>48</v>
      </c>
      <c r="K84" s="48">
        <v>120</v>
      </c>
      <c r="L84" s="48">
        <v>12.9</v>
      </c>
      <c r="M84" s="48"/>
      <c r="N84" s="49"/>
      <c r="O84" s="49"/>
      <c r="P84" s="49"/>
      <c r="Q84" s="50">
        <f t="shared" si="0"/>
        <v>132.9</v>
      </c>
      <c r="R84" s="55" t="str">
        <f t="shared" si="1"/>
        <v>LUK</v>
      </c>
      <c r="S84" s="183"/>
      <c r="T84" s="40">
        <v>80000</v>
      </c>
      <c r="U84" s="40">
        <f t="shared" si="23"/>
        <v>10632000</v>
      </c>
      <c r="V84" s="158" t="s">
        <v>64</v>
      </c>
      <c r="W84" s="241" t="s">
        <v>24</v>
      </c>
      <c r="X84" s="242">
        <f t="shared" si="27"/>
        <v>132.9</v>
      </c>
      <c r="Y84" s="41">
        <v>9000</v>
      </c>
      <c r="Z84" s="42">
        <v>1</v>
      </c>
      <c r="AA84" s="40">
        <f t="shared" si="4"/>
        <v>1196100</v>
      </c>
      <c r="AB84" s="40">
        <f t="shared" ref="AB84:AB114" si="28">(K84+L84+N84+O84)*T84*5</f>
        <v>53160000</v>
      </c>
      <c r="AC84" s="40">
        <f t="shared" si="5"/>
        <v>1993500</v>
      </c>
      <c r="AD84" s="40">
        <f t="shared" si="25"/>
        <v>0</v>
      </c>
      <c r="AE84" s="56">
        <f t="shared" ref="AE84:AE114" si="29">U84+AA84+AB84+AC84+AD84</f>
        <v>66981600</v>
      </c>
      <c r="AF84" s="504"/>
      <c r="AG84" s="69"/>
      <c r="AH84" s="43"/>
      <c r="AI84" s="3"/>
      <c r="AJ84" s="4"/>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row>
    <row r="85" spans="1:249" s="2" customFormat="1" ht="66" customHeight="1" x14ac:dyDescent="0.25">
      <c r="A85" s="94">
        <v>23</v>
      </c>
      <c r="B85" s="95" t="s">
        <v>235</v>
      </c>
      <c r="C85" s="246"/>
      <c r="D85" s="246"/>
      <c r="E85" s="216"/>
      <c r="F85" s="214" t="s">
        <v>44</v>
      </c>
      <c r="G85" s="210">
        <v>28</v>
      </c>
      <c r="H85" s="210">
        <v>613</v>
      </c>
      <c r="I85" s="211">
        <v>131.9</v>
      </c>
      <c r="J85" s="212" t="s">
        <v>7</v>
      </c>
      <c r="K85" s="48"/>
      <c r="L85" s="48">
        <v>131.9</v>
      </c>
      <c r="M85" s="48"/>
      <c r="N85" s="49"/>
      <c r="O85" s="49"/>
      <c r="P85" s="49"/>
      <c r="Q85" s="50">
        <f t="shared" si="0"/>
        <v>131.9</v>
      </c>
      <c r="R85" s="55" t="str">
        <f t="shared" si="1"/>
        <v>LUC</v>
      </c>
      <c r="S85" s="183" t="s">
        <v>234</v>
      </c>
      <c r="T85" s="40">
        <v>80000</v>
      </c>
      <c r="U85" s="40">
        <f t="shared" si="23"/>
        <v>10552000</v>
      </c>
      <c r="V85" s="158" t="s">
        <v>316</v>
      </c>
      <c r="W85" s="241" t="s">
        <v>61</v>
      </c>
      <c r="X85" s="242">
        <v>40</v>
      </c>
      <c r="Y85" s="41"/>
      <c r="Z85" s="42"/>
      <c r="AA85" s="40"/>
      <c r="AB85" s="40">
        <f t="shared" si="28"/>
        <v>52760000</v>
      </c>
      <c r="AC85" s="40">
        <f t="shared" si="5"/>
        <v>1978500</v>
      </c>
      <c r="AD85" s="40">
        <f t="shared" si="25"/>
        <v>0</v>
      </c>
      <c r="AE85" s="56">
        <f t="shared" si="29"/>
        <v>65290500</v>
      </c>
      <c r="AF85" s="504">
        <f>SUM(AE85:AE87)</f>
        <v>262395200</v>
      </c>
      <c r="AG85" s="69" t="s">
        <v>318</v>
      </c>
      <c r="AH85" s="43"/>
      <c r="AI85" s="3"/>
      <c r="AJ85" s="4"/>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row>
    <row r="86" spans="1:249" s="2" customFormat="1" ht="72.75" customHeight="1" x14ac:dyDescent="0.25">
      <c r="A86" s="94">
        <v>23</v>
      </c>
      <c r="B86" s="95" t="s">
        <v>235</v>
      </c>
      <c r="C86" s="246">
        <v>5</v>
      </c>
      <c r="D86" s="246">
        <v>132</v>
      </c>
      <c r="E86" s="247">
        <v>360</v>
      </c>
      <c r="F86" s="214" t="s">
        <v>44</v>
      </c>
      <c r="G86" s="210">
        <v>28</v>
      </c>
      <c r="H86" s="210">
        <v>605</v>
      </c>
      <c r="I86" s="211">
        <v>374.9</v>
      </c>
      <c r="J86" s="212" t="s">
        <v>48</v>
      </c>
      <c r="K86" s="48">
        <v>360</v>
      </c>
      <c r="L86" s="48">
        <f>I86-360</f>
        <v>14.899999999999977</v>
      </c>
      <c r="M86" s="48"/>
      <c r="N86" s="49"/>
      <c r="O86" s="49"/>
      <c r="P86" s="49"/>
      <c r="Q86" s="50">
        <f t="shared" ref="Q86" si="30">K86+L86+M86+N86+O86+P86</f>
        <v>374.9</v>
      </c>
      <c r="R86" s="55" t="str">
        <f t="shared" si="1"/>
        <v>LUK</v>
      </c>
      <c r="S86" s="183"/>
      <c r="T86" s="40">
        <v>80000</v>
      </c>
      <c r="U86" s="40">
        <f t="shared" si="23"/>
        <v>29992000</v>
      </c>
      <c r="V86" s="158" t="s">
        <v>310</v>
      </c>
      <c r="W86" s="241" t="s">
        <v>24</v>
      </c>
      <c r="X86" s="242">
        <v>281.2</v>
      </c>
      <c r="Y86" s="41">
        <v>41000</v>
      </c>
      <c r="Z86" s="42">
        <v>1</v>
      </c>
      <c r="AA86" s="40">
        <f t="shared" ref="AA86:AA114" si="31">X86*Y86*Z86</f>
        <v>11529200</v>
      </c>
      <c r="AB86" s="40">
        <f t="shared" si="28"/>
        <v>149960000</v>
      </c>
      <c r="AC86" s="40">
        <f t="shared" si="5"/>
        <v>5623500</v>
      </c>
      <c r="AD86" s="40">
        <f t="shared" si="25"/>
        <v>0</v>
      </c>
      <c r="AE86" s="56">
        <f t="shared" si="29"/>
        <v>197104700</v>
      </c>
      <c r="AF86" s="504"/>
      <c r="AG86" s="510" t="s">
        <v>317</v>
      </c>
      <c r="AH86" s="43">
        <f>374.9/4*3</f>
        <v>281.17499999999995</v>
      </c>
      <c r="AI86" s="3">
        <f>AH86*3</f>
        <v>843.52499999999986</v>
      </c>
      <c r="AJ86" s="4"/>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row>
    <row r="87" spans="1:249" s="2" customFormat="1" ht="72.75" customHeight="1" x14ac:dyDescent="0.25">
      <c r="A87" s="94">
        <v>23</v>
      </c>
      <c r="B87" s="95" t="s">
        <v>235</v>
      </c>
      <c r="C87" s="246"/>
      <c r="D87" s="246"/>
      <c r="E87" s="247"/>
      <c r="F87" s="214" t="s">
        <v>44</v>
      </c>
      <c r="G87" s="210">
        <v>28</v>
      </c>
      <c r="H87" s="210">
        <v>605</v>
      </c>
      <c r="I87" s="211"/>
      <c r="J87" s="212"/>
      <c r="K87" s="48"/>
      <c r="L87" s="48"/>
      <c r="M87" s="48"/>
      <c r="N87" s="49"/>
      <c r="O87" s="49"/>
      <c r="P87" s="49"/>
      <c r="Q87" s="50"/>
      <c r="R87" s="55"/>
      <c r="S87" s="183"/>
      <c r="T87" s="40"/>
      <c r="U87" s="40">
        <f t="shared" si="23"/>
        <v>0</v>
      </c>
      <c r="V87" s="158" t="s">
        <v>315</v>
      </c>
      <c r="W87" s="241" t="s">
        <v>61</v>
      </c>
      <c r="X87" s="242">
        <v>175</v>
      </c>
      <c r="Y87" s="41"/>
      <c r="Z87" s="42"/>
      <c r="AA87" s="40">
        <f t="shared" si="31"/>
        <v>0</v>
      </c>
      <c r="AB87" s="40">
        <f t="shared" si="28"/>
        <v>0</v>
      </c>
      <c r="AC87" s="40">
        <f t="shared" si="5"/>
        <v>0</v>
      </c>
      <c r="AD87" s="40">
        <f t="shared" si="25"/>
        <v>0</v>
      </c>
      <c r="AE87" s="56">
        <f t="shared" si="29"/>
        <v>0</v>
      </c>
      <c r="AF87" s="504"/>
      <c r="AG87" s="510"/>
      <c r="AH87" s="43">
        <f>175*50000</f>
        <v>8750000</v>
      </c>
      <c r="AI87" s="3"/>
      <c r="AJ87" s="4"/>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row>
    <row r="88" spans="1:249" s="2" customFormat="1" ht="33" customHeight="1" x14ac:dyDescent="0.25">
      <c r="A88" s="94">
        <v>24</v>
      </c>
      <c r="B88" s="95" t="s">
        <v>236</v>
      </c>
      <c r="C88" s="246">
        <v>5</v>
      </c>
      <c r="D88" s="246">
        <v>83</v>
      </c>
      <c r="E88" s="216">
        <v>144</v>
      </c>
      <c r="F88" s="248" t="s">
        <v>79</v>
      </c>
      <c r="G88" s="210">
        <v>28</v>
      </c>
      <c r="H88" s="210">
        <v>786</v>
      </c>
      <c r="I88" s="211">
        <v>159.4</v>
      </c>
      <c r="J88" s="212" t="s">
        <v>43</v>
      </c>
      <c r="K88" s="48">
        <v>144</v>
      </c>
      <c r="L88" s="48">
        <f>I88-K88</f>
        <v>15.400000000000006</v>
      </c>
      <c r="M88" s="48"/>
      <c r="N88" s="49"/>
      <c r="O88" s="49"/>
      <c r="P88" s="49"/>
      <c r="Q88" s="50">
        <f t="shared" ref="Q88:Q114" si="32">K88+L88+M88+N88+O88+P88</f>
        <v>159.4</v>
      </c>
      <c r="R88" s="55" t="s">
        <v>86</v>
      </c>
      <c r="S88" s="183"/>
      <c r="T88" s="40">
        <v>80000</v>
      </c>
      <c r="U88" s="40">
        <f t="shared" si="23"/>
        <v>12752000</v>
      </c>
      <c r="V88" s="158" t="s">
        <v>64</v>
      </c>
      <c r="W88" s="241" t="s">
        <v>24</v>
      </c>
      <c r="X88" s="242">
        <f t="shared" ref="X88:X90" si="33">Q88</f>
        <v>159.4</v>
      </c>
      <c r="Y88" s="41">
        <v>9000</v>
      </c>
      <c r="Z88" s="42">
        <v>1</v>
      </c>
      <c r="AA88" s="40">
        <f t="shared" si="31"/>
        <v>1434600</v>
      </c>
      <c r="AB88" s="40">
        <f t="shared" si="28"/>
        <v>63760000</v>
      </c>
      <c r="AC88" s="40">
        <f t="shared" si="5"/>
        <v>2391000</v>
      </c>
      <c r="AD88" s="40">
        <f t="shared" si="25"/>
        <v>0</v>
      </c>
      <c r="AE88" s="56">
        <f t="shared" si="29"/>
        <v>80337600</v>
      </c>
      <c r="AF88" s="504">
        <f>SUM(AE88:AE90)</f>
        <v>384904800</v>
      </c>
      <c r="AG88" s="6"/>
      <c r="AH88" s="43"/>
      <c r="AI88" s="3"/>
      <c r="AJ88" s="4"/>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row>
    <row r="89" spans="1:249" s="2" customFormat="1" ht="30" customHeight="1" x14ac:dyDescent="0.25">
      <c r="A89" s="94">
        <v>24</v>
      </c>
      <c r="B89" s="95" t="s">
        <v>236</v>
      </c>
      <c r="C89" s="246">
        <v>5</v>
      </c>
      <c r="D89" s="246">
        <v>136</v>
      </c>
      <c r="E89" s="216">
        <v>168</v>
      </c>
      <c r="F89" s="248" t="s">
        <v>79</v>
      </c>
      <c r="G89" s="210">
        <v>28</v>
      </c>
      <c r="H89" s="210">
        <v>776</v>
      </c>
      <c r="I89" s="211">
        <v>184</v>
      </c>
      <c r="J89" s="212" t="s">
        <v>7</v>
      </c>
      <c r="K89" s="48">
        <v>168</v>
      </c>
      <c r="L89" s="48">
        <f t="shared" ref="L89" si="34">I89-K89</f>
        <v>16</v>
      </c>
      <c r="M89" s="48"/>
      <c r="N89" s="49"/>
      <c r="O89" s="49"/>
      <c r="P89" s="49"/>
      <c r="Q89" s="50">
        <f t="shared" si="32"/>
        <v>184</v>
      </c>
      <c r="R89" s="55" t="str">
        <f t="shared" ref="R89:R114" si="35">J89</f>
        <v>LUC</v>
      </c>
      <c r="S89" s="183"/>
      <c r="T89" s="40">
        <v>80000</v>
      </c>
      <c r="U89" s="40">
        <f t="shared" si="23"/>
        <v>14720000</v>
      </c>
      <c r="V89" s="158" t="s">
        <v>64</v>
      </c>
      <c r="W89" s="241" t="s">
        <v>24</v>
      </c>
      <c r="X89" s="242">
        <f t="shared" si="33"/>
        <v>184</v>
      </c>
      <c r="Y89" s="41">
        <v>9000</v>
      </c>
      <c r="Z89" s="42">
        <v>1</v>
      </c>
      <c r="AA89" s="40">
        <f t="shared" si="31"/>
        <v>1656000</v>
      </c>
      <c r="AB89" s="40">
        <f t="shared" si="28"/>
        <v>73600000</v>
      </c>
      <c r="AC89" s="40">
        <f t="shared" ref="AC89:AC114" si="36">(K89+L89+N89+O89)*15000</f>
        <v>2760000</v>
      </c>
      <c r="AD89" s="40">
        <f t="shared" si="25"/>
        <v>0</v>
      </c>
      <c r="AE89" s="56">
        <f t="shared" si="29"/>
        <v>92736000</v>
      </c>
      <c r="AF89" s="504"/>
      <c r="AG89" s="110"/>
      <c r="AH89" s="168"/>
      <c r="AI89" s="3"/>
      <c r="AJ89" s="4"/>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row>
    <row r="90" spans="1:249" s="2" customFormat="1" ht="67.5" x14ac:dyDescent="0.25">
      <c r="A90" s="94">
        <v>24</v>
      </c>
      <c r="B90" s="95" t="s">
        <v>236</v>
      </c>
      <c r="C90" s="246">
        <v>5</v>
      </c>
      <c r="D90" s="246">
        <v>48</v>
      </c>
      <c r="E90" s="216">
        <v>360</v>
      </c>
      <c r="F90" s="248" t="s">
        <v>237</v>
      </c>
      <c r="G90" s="210">
        <v>28</v>
      </c>
      <c r="H90" s="210">
        <v>721</v>
      </c>
      <c r="I90" s="211">
        <v>421.3</v>
      </c>
      <c r="J90" s="212" t="s">
        <v>7</v>
      </c>
      <c r="K90" s="48">
        <v>359</v>
      </c>
      <c r="L90" s="48">
        <f>I90-K90-S90</f>
        <v>61.300000000000011</v>
      </c>
      <c r="M90" s="48"/>
      <c r="N90" s="49"/>
      <c r="O90" s="49"/>
      <c r="P90" s="49"/>
      <c r="Q90" s="50">
        <f>K90+L90+M90+N90+O90+P90</f>
        <v>420.3</v>
      </c>
      <c r="R90" s="55" t="str">
        <f>J90</f>
        <v>LUC</v>
      </c>
      <c r="S90" s="183">
        <v>1</v>
      </c>
      <c r="T90" s="40">
        <v>80000</v>
      </c>
      <c r="U90" s="40">
        <f>(K90+L90+N90+O90)*T90</f>
        <v>33624000</v>
      </c>
      <c r="V90" s="158" t="s">
        <v>64</v>
      </c>
      <c r="W90" s="241" t="s">
        <v>24</v>
      </c>
      <c r="X90" s="242">
        <f t="shared" si="33"/>
        <v>420.3</v>
      </c>
      <c r="Y90" s="41">
        <v>9000</v>
      </c>
      <c r="Z90" s="42">
        <v>1</v>
      </c>
      <c r="AA90" s="40">
        <f>X90*Y90*Z90</f>
        <v>3782700</v>
      </c>
      <c r="AB90" s="40">
        <f>(K90+L90+N90+O90)*T90*5</f>
        <v>168120000</v>
      </c>
      <c r="AC90" s="40">
        <f>(K90+L90+N90+O90)*15000</f>
        <v>6304500</v>
      </c>
      <c r="AD90" s="40">
        <f t="shared" si="25"/>
        <v>0</v>
      </c>
      <c r="AE90" s="56">
        <f>U90+AA90+AB90+AC90+AD90</f>
        <v>211831200</v>
      </c>
      <c r="AF90" s="504"/>
      <c r="AG90" s="44" t="s">
        <v>159</v>
      </c>
      <c r="AH90" s="43"/>
      <c r="AI90" s="3"/>
      <c r="AJ90" s="4"/>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row>
    <row r="91" spans="1:249" s="2" customFormat="1" ht="47.25" customHeight="1" x14ac:dyDescent="0.25">
      <c r="A91" s="94">
        <v>25</v>
      </c>
      <c r="B91" s="95" t="s">
        <v>238</v>
      </c>
      <c r="C91" s="246">
        <v>5</v>
      </c>
      <c r="D91" s="246">
        <v>75</v>
      </c>
      <c r="E91" s="247">
        <v>144</v>
      </c>
      <c r="F91" s="249" t="s">
        <v>33</v>
      </c>
      <c r="G91" s="210">
        <v>29</v>
      </c>
      <c r="H91" s="210">
        <v>62</v>
      </c>
      <c r="I91" s="211">
        <v>143.6</v>
      </c>
      <c r="J91" s="212" t="s">
        <v>7</v>
      </c>
      <c r="K91" s="48">
        <v>5.6</v>
      </c>
      <c r="L91" s="48"/>
      <c r="M91" s="48"/>
      <c r="N91" s="49"/>
      <c r="O91" s="49"/>
      <c r="P91" s="49"/>
      <c r="Q91" s="50">
        <f t="shared" si="32"/>
        <v>5.6</v>
      </c>
      <c r="R91" s="55" t="str">
        <f t="shared" si="35"/>
        <v>LUC</v>
      </c>
      <c r="S91" s="183"/>
      <c r="T91" s="40">
        <v>80000</v>
      </c>
      <c r="U91" s="40">
        <f t="shared" si="23"/>
        <v>448000</v>
      </c>
      <c r="V91" s="99" t="s">
        <v>323</v>
      </c>
      <c r="W91" s="241" t="s">
        <v>61</v>
      </c>
      <c r="X91" s="242">
        <v>2</v>
      </c>
      <c r="Y91" s="41">
        <v>118000</v>
      </c>
      <c r="Z91" s="42">
        <v>0.8</v>
      </c>
      <c r="AA91" s="40">
        <f t="shared" si="31"/>
        <v>188800</v>
      </c>
      <c r="AB91" s="40">
        <f t="shared" si="28"/>
        <v>2240000</v>
      </c>
      <c r="AC91" s="40">
        <f t="shared" si="36"/>
        <v>84000</v>
      </c>
      <c r="AD91" s="40">
        <f t="shared" si="25"/>
        <v>0</v>
      </c>
      <c r="AE91" s="56">
        <f t="shared" si="29"/>
        <v>2960800</v>
      </c>
      <c r="AF91" s="504">
        <f>SUM(AE91:AE94)</f>
        <v>389377600</v>
      </c>
      <c r="AG91" s="69" t="s">
        <v>240</v>
      </c>
      <c r="AH91" s="43">
        <f>138+5.6</f>
        <v>143.6</v>
      </c>
      <c r="AI91" s="3"/>
      <c r="AJ91" s="4"/>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row>
    <row r="92" spans="1:249" s="2" customFormat="1" ht="30" customHeight="1" x14ac:dyDescent="0.25">
      <c r="A92" s="94">
        <v>25</v>
      </c>
      <c r="B92" s="95" t="s">
        <v>238</v>
      </c>
      <c r="C92" s="246">
        <v>5</v>
      </c>
      <c r="D92" s="246">
        <v>98</v>
      </c>
      <c r="E92" s="247">
        <v>360</v>
      </c>
      <c r="F92" s="248" t="s">
        <v>237</v>
      </c>
      <c r="G92" s="210">
        <v>28</v>
      </c>
      <c r="H92" s="210">
        <v>674</v>
      </c>
      <c r="I92" s="211">
        <v>441.3</v>
      </c>
      <c r="J92" s="212" t="s">
        <v>7</v>
      </c>
      <c r="K92" s="48">
        <v>360</v>
      </c>
      <c r="L92" s="48">
        <f>I92-K92</f>
        <v>81.300000000000011</v>
      </c>
      <c r="M92" s="48"/>
      <c r="N92" s="49"/>
      <c r="O92" s="49"/>
      <c r="P92" s="49"/>
      <c r="Q92" s="50">
        <f t="shared" si="32"/>
        <v>441.3</v>
      </c>
      <c r="R92" s="55" t="str">
        <f t="shared" si="35"/>
        <v>LUC</v>
      </c>
      <c r="S92" s="183"/>
      <c r="T92" s="40">
        <v>80000</v>
      </c>
      <c r="U92" s="40">
        <f t="shared" si="23"/>
        <v>35304000</v>
      </c>
      <c r="V92" s="158" t="s">
        <v>64</v>
      </c>
      <c r="W92" s="241" t="s">
        <v>24</v>
      </c>
      <c r="X92" s="242">
        <f t="shared" ref="X92:X98" si="37">Q92</f>
        <v>441.3</v>
      </c>
      <c r="Y92" s="41">
        <v>9000</v>
      </c>
      <c r="Z92" s="42">
        <v>1</v>
      </c>
      <c r="AA92" s="40">
        <f t="shared" si="31"/>
        <v>3971700</v>
      </c>
      <c r="AB92" s="40">
        <f t="shared" si="28"/>
        <v>176520000</v>
      </c>
      <c r="AC92" s="40">
        <f t="shared" si="36"/>
        <v>6619500</v>
      </c>
      <c r="AD92" s="40">
        <f t="shared" si="25"/>
        <v>0</v>
      </c>
      <c r="AE92" s="56">
        <f t="shared" si="29"/>
        <v>222415200</v>
      </c>
      <c r="AF92" s="504"/>
      <c r="AG92" s="6"/>
      <c r="AH92" s="43"/>
      <c r="AI92" s="3"/>
      <c r="AJ92" s="4"/>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row>
    <row r="93" spans="1:249" s="2" customFormat="1" ht="45" x14ac:dyDescent="0.25">
      <c r="A93" s="94">
        <v>25</v>
      </c>
      <c r="B93" s="95" t="s">
        <v>238</v>
      </c>
      <c r="C93" s="246">
        <v>5</v>
      </c>
      <c r="D93" s="246" t="s">
        <v>239</v>
      </c>
      <c r="E93" s="247">
        <v>216</v>
      </c>
      <c r="F93" s="249" t="s">
        <v>51</v>
      </c>
      <c r="G93" s="210">
        <v>29</v>
      </c>
      <c r="H93" s="210">
        <v>11</v>
      </c>
      <c r="I93" s="211">
        <v>248.2</v>
      </c>
      <c r="J93" s="212" t="s">
        <v>48</v>
      </c>
      <c r="K93" s="48">
        <v>141.1</v>
      </c>
      <c r="L93" s="48"/>
      <c r="M93" s="48"/>
      <c r="N93" s="49"/>
      <c r="O93" s="49"/>
      <c r="P93" s="49"/>
      <c r="Q93" s="50">
        <f t="shared" si="32"/>
        <v>141.1</v>
      </c>
      <c r="R93" s="55" t="str">
        <f t="shared" si="35"/>
        <v>LUK</v>
      </c>
      <c r="S93" s="183"/>
      <c r="T93" s="40">
        <v>80000</v>
      </c>
      <c r="U93" s="40">
        <f t="shared" si="23"/>
        <v>11288000</v>
      </c>
      <c r="V93" s="158" t="s">
        <v>64</v>
      </c>
      <c r="W93" s="241" t="s">
        <v>24</v>
      </c>
      <c r="X93" s="242">
        <f t="shared" si="37"/>
        <v>141.1</v>
      </c>
      <c r="Y93" s="41">
        <v>9000</v>
      </c>
      <c r="Z93" s="42">
        <v>1</v>
      </c>
      <c r="AA93" s="40">
        <f t="shared" si="31"/>
        <v>1269900</v>
      </c>
      <c r="AB93" s="40">
        <f t="shared" si="28"/>
        <v>56440000</v>
      </c>
      <c r="AC93" s="40">
        <f t="shared" si="36"/>
        <v>2116500</v>
      </c>
      <c r="AD93" s="40">
        <f t="shared" si="25"/>
        <v>0</v>
      </c>
      <c r="AE93" s="56">
        <f t="shared" si="29"/>
        <v>71114400</v>
      </c>
      <c r="AF93" s="504"/>
      <c r="AG93" s="69" t="s">
        <v>241</v>
      </c>
      <c r="AH93" s="43">
        <f>141.1+107.1</f>
        <v>248.2</v>
      </c>
      <c r="AI93" s="3"/>
      <c r="AJ93" s="4"/>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row>
    <row r="94" spans="1:249" s="2" customFormat="1" ht="31.5" customHeight="1" x14ac:dyDescent="0.25">
      <c r="A94" s="94">
        <v>25</v>
      </c>
      <c r="B94" s="95" t="s">
        <v>238</v>
      </c>
      <c r="C94" s="246">
        <v>5</v>
      </c>
      <c r="D94" s="246">
        <v>75</v>
      </c>
      <c r="E94" s="247">
        <v>144</v>
      </c>
      <c r="F94" s="249" t="s">
        <v>51</v>
      </c>
      <c r="G94" s="210">
        <v>29</v>
      </c>
      <c r="H94" s="210">
        <v>10</v>
      </c>
      <c r="I94" s="211">
        <v>184.3</v>
      </c>
      <c r="J94" s="212" t="s">
        <v>48</v>
      </c>
      <c r="K94" s="48">
        <v>144</v>
      </c>
      <c r="L94" s="48">
        <f>I94-K94</f>
        <v>40.300000000000011</v>
      </c>
      <c r="M94" s="48"/>
      <c r="N94" s="49"/>
      <c r="O94" s="49"/>
      <c r="P94" s="49"/>
      <c r="Q94" s="50">
        <f t="shared" si="32"/>
        <v>184.3</v>
      </c>
      <c r="R94" s="55" t="str">
        <f t="shared" si="35"/>
        <v>LUK</v>
      </c>
      <c r="S94" s="183"/>
      <c r="T94" s="40">
        <v>80000</v>
      </c>
      <c r="U94" s="40">
        <f t="shared" si="23"/>
        <v>14744000</v>
      </c>
      <c r="V94" s="158" t="s">
        <v>64</v>
      </c>
      <c r="W94" s="241" t="s">
        <v>24</v>
      </c>
      <c r="X94" s="242">
        <f t="shared" si="37"/>
        <v>184.3</v>
      </c>
      <c r="Y94" s="41">
        <v>9000</v>
      </c>
      <c r="Z94" s="42">
        <v>1</v>
      </c>
      <c r="AA94" s="40">
        <f t="shared" si="31"/>
        <v>1658700</v>
      </c>
      <c r="AB94" s="40">
        <f t="shared" si="28"/>
        <v>73720000</v>
      </c>
      <c r="AC94" s="40">
        <f t="shared" si="36"/>
        <v>2764500</v>
      </c>
      <c r="AD94" s="40">
        <f t="shared" si="25"/>
        <v>0</v>
      </c>
      <c r="AE94" s="56">
        <f t="shared" si="29"/>
        <v>92887200</v>
      </c>
      <c r="AF94" s="504"/>
      <c r="AG94" s="6"/>
      <c r="AH94" s="167"/>
      <c r="AI94" s="3"/>
      <c r="AJ94" s="4"/>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row>
    <row r="95" spans="1:249" s="2" customFormat="1" ht="30" customHeight="1" x14ac:dyDescent="0.25">
      <c r="A95" s="94">
        <v>26</v>
      </c>
      <c r="B95" s="95" t="s">
        <v>242</v>
      </c>
      <c r="C95" s="246">
        <v>5</v>
      </c>
      <c r="D95" s="246">
        <v>39</v>
      </c>
      <c r="E95" s="216">
        <v>456</v>
      </c>
      <c r="F95" s="214" t="s">
        <v>33</v>
      </c>
      <c r="G95" s="210">
        <v>29</v>
      </c>
      <c r="H95" s="210">
        <v>12</v>
      </c>
      <c r="I95" s="211">
        <v>516.29999999999995</v>
      </c>
      <c r="J95" s="212" t="s">
        <v>7</v>
      </c>
      <c r="K95" s="48">
        <v>456</v>
      </c>
      <c r="L95" s="48">
        <f t="shared" ref="L95:L99" si="38">I95-K95</f>
        <v>60.299999999999955</v>
      </c>
      <c r="M95" s="48"/>
      <c r="N95" s="49"/>
      <c r="O95" s="49"/>
      <c r="P95" s="49"/>
      <c r="Q95" s="50">
        <f t="shared" si="32"/>
        <v>516.29999999999995</v>
      </c>
      <c r="R95" s="55" t="str">
        <f t="shared" si="35"/>
        <v>LUC</v>
      </c>
      <c r="S95" s="183"/>
      <c r="T95" s="40">
        <v>80000</v>
      </c>
      <c r="U95" s="40">
        <f t="shared" si="23"/>
        <v>41304000</v>
      </c>
      <c r="V95" s="158" t="s">
        <v>64</v>
      </c>
      <c r="W95" s="241" t="s">
        <v>24</v>
      </c>
      <c r="X95" s="242">
        <f t="shared" si="37"/>
        <v>516.29999999999995</v>
      </c>
      <c r="Y95" s="41">
        <v>9000</v>
      </c>
      <c r="Z95" s="42">
        <v>1</v>
      </c>
      <c r="AA95" s="40">
        <f t="shared" si="31"/>
        <v>4646700</v>
      </c>
      <c r="AB95" s="40">
        <f t="shared" si="28"/>
        <v>206520000</v>
      </c>
      <c r="AC95" s="40">
        <f t="shared" si="36"/>
        <v>7744499.9999999991</v>
      </c>
      <c r="AD95" s="40">
        <f t="shared" si="25"/>
        <v>0</v>
      </c>
      <c r="AE95" s="56">
        <f t="shared" si="29"/>
        <v>260215200</v>
      </c>
      <c r="AF95" s="504">
        <f>SUM(AE95:AE97)</f>
        <v>597290400</v>
      </c>
      <c r="AG95" s="6"/>
      <c r="AH95" s="43"/>
      <c r="AI95" s="3"/>
      <c r="AJ95" s="4"/>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row>
    <row r="96" spans="1:249" s="2" customFormat="1" ht="30" customHeight="1" x14ac:dyDescent="0.25">
      <c r="A96" s="94">
        <v>26</v>
      </c>
      <c r="B96" s="95" t="s">
        <v>242</v>
      </c>
      <c r="C96" s="246">
        <v>5</v>
      </c>
      <c r="D96" s="246">
        <v>40</v>
      </c>
      <c r="E96" s="216">
        <v>360</v>
      </c>
      <c r="F96" s="214" t="s">
        <v>33</v>
      </c>
      <c r="G96" s="210">
        <v>29</v>
      </c>
      <c r="H96" s="210">
        <v>37</v>
      </c>
      <c r="I96" s="211">
        <v>370.1</v>
      </c>
      <c r="J96" s="212" t="s">
        <v>7</v>
      </c>
      <c r="K96" s="48">
        <v>360</v>
      </c>
      <c r="L96" s="48">
        <f t="shared" si="38"/>
        <v>10.100000000000023</v>
      </c>
      <c r="M96" s="48"/>
      <c r="N96" s="49"/>
      <c r="O96" s="49"/>
      <c r="P96" s="49"/>
      <c r="Q96" s="50">
        <f t="shared" si="32"/>
        <v>370.1</v>
      </c>
      <c r="R96" s="55" t="str">
        <f t="shared" si="35"/>
        <v>LUC</v>
      </c>
      <c r="S96" s="183"/>
      <c r="T96" s="40">
        <v>80000</v>
      </c>
      <c r="U96" s="40">
        <f t="shared" si="23"/>
        <v>29608000</v>
      </c>
      <c r="V96" s="158" t="s">
        <v>64</v>
      </c>
      <c r="W96" s="241" t="s">
        <v>24</v>
      </c>
      <c r="X96" s="242">
        <f t="shared" si="37"/>
        <v>370.1</v>
      </c>
      <c r="Y96" s="41">
        <v>9000</v>
      </c>
      <c r="Z96" s="42">
        <v>1</v>
      </c>
      <c r="AA96" s="40">
        <f t="shared" si="31"/>
        <v>3330900</v>
      </c>
      <c r="AB96" s="40">
        <f t="shared" si="28"/>
        <v>148040000</v>
      </c>
      <c r="AC96" s="40">
        <f t="shared" si="36"/>
        <v>5551500</v>
      </c>
      <c r="AD96" s="40">
        <f t="shared" si="25"/>
        <v>0</v>
      </c>
      <c r="AE96" s="56">
        <f t="shared" si="29"/>
        <v>186530400</v>
      </c>
      <c r="AF96" s="504"/>
      <c r="AG96" s="69"/>
      <c r="AH96" s="43"/>
      <c r="AI96" s="3"/>
      <c r="AJ96" s="4"/>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row>
    <row r="97" spans="1:249" s="2" customFormat="1" ht="30" customHeight="1" x14ac:dyDescent="0.25">
      <c r="A97" s="94">
        <v>26</v>
      </c>
      <c r="B97" s="95" t="s">
        <v>242</v>
      </c>
      <c r="C97" s="246">
        <v>5</v>
      </c>
      <c r="D97" s="246">
        <v>98</v>
      </c>
      <c r="E97" s="216">
        <v>312</v>
      </c>
      <c r="F97" s="215" t="s">
        <v>201</v>
      </c>
      <c r="G97" s="210">
        <v>28</v>
      </c>
      <c r="H97" s="210">
        <v>676</v>
      </c>
      <c r="I97" s="211">
        <v>298.7</v>
      </c>
      <c r="J97" s="212" t="s">
        <v>7</v>
      </c>
      <c r="K97" s="48">
        <v>298.7</v>
      </c>
      <c r="L97" s="48">
        <f t="shared" si="38"/>
        <v>0</v>
      </c>
      <c r="M97" s="48"/>
      <c r="N97" s="49"/>
      <c r="O97" s="49"/>
      <c r="P97" s="49"/>
      <c r="Q97" s="50">
        <f t="shared" si="32"/>
        <v>298.7</v>
      </c>
      <c r="R97" s="55" t="str">
        <f t="shared" si="35"/>
        <v>LUC</v>
      </c>
      <c r="S97" s="183"/>
      <c r="T97" s="40">
        <v>80000</v>
      </c>
      <c r="U97" s="40">
        <f>(K97+L97+N97+O97)*T97</f>
        <v>23896000</v>
      </c>
      <c r="V97" s="158" t="s">
        <v>64</v>
      </c>
      <c r="W97" s="241" t="s">
        <v>24</v>
      </c>
      <c r="X97" s="242">
        <f t="shared" si="37"/>
        <v>298.7</v>
      </c>
      <c r="Y97" s="41">
        <v>9000</v>
      </c>
      <c r="Z97" s="42">
        <v>1</v>
      </c>
      <c r="AA97" s="40">
        <f t="shared" si="31"/>
        <v>2688300</v>
      </c>
      <c r="AB97" s="40">
        <f t="shared" si="28"/>
        <v>119480000</v>
      </c>
      <c r="AC97" s="40">
        <f t="shared" si="36"/>
        <v>4480500</v>
      </c>
      <c r="AD97" s="40">
        <f t="shared" si="25"/>
        <v>0</v>
      </c>
      <c r="AE97" s="56">
        <f t="shared" si="29"/>
        <v>150544800</v>
      </c>
      <c r="AF97" s="504"/>
      <c r="AG97" s="69"/>
      <c r="AH97" s="229">
        <f>I97-312</f>
        <v>-13.300000000000011</v>
      </c>
      <c r="AI97" s="3"/>
      <c r="AJ97" s="4"/>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row>
    <row r="98" spans="1:249" s="2" customFormat="1" ht="30" customHeight="1" x14ac:dyDescent="0.25">
      <c r="A98" s="94">
        <v>27</v>
      </c>
      <c r="B98" s="95" t="s">
        <v>243</v>
      </c>
      <c r="C98" s="246">
        <v>5</v>
      </c>
      <c r="D98" s="246">
        <v>131</v>
      </c>
      <c r="E98" s="216">
        <v>96</v>
      </c>
      <c r="F98" s="214" t="s">
        <v>44</v>
      </c>
      <c r="G98" s="210">
        <v>28</v>
      </c>
      <c r="H98" s="210">
        <v>548</v>
      </c>
      <c r="I98" s="211">
        <v>357.7</v>
      </c>
      <c r="J98" s="212" t="s">
        <v>48</v>
      </c>
      <c r="K98" s="48">
        <v>96</v>
      </c>
      <c r="L98" s="48">
        <f t="shared" si="38"/>
        <v>261.7</v>
      </c>
      <c r="M98" s="48"/>
      <c r="N98" s="49"/>
      <c r="O98" s="49"/>
      <c r="P98" s="49"/>
      <c r="Q98" s="50">
        <f t="shared" si="32"/>
        <v>357.7</v>
      </c>
      <c r="R98" s="55" t="str">
        <f t="shared" si="35"/>
        <v>LUK</v>
      </c>
      <c r="S98" s="183"/>
      <c r="T98" s="40">
        <v>80000</v>
      </c>
      <c r="U98" s="40">
        <f t="shared" ref="U98:U99" si="39">(K98+L98+N98+O98)*T98</f>
        <v>28616000</v>
      </c>
      <c r="V98" s="158" t="s">
        <v>64</v>
      </c>
      <c r="W98" s="241" t="s">
        <v>24</v>
      </c>
      <c r="X98" s="242">
        <f t="shared" si="37"/>
        <v>357.7</v>
      </c>
      <c r="Y98" s="41">
        <v>9000</v>
      </c>
      <c r="Z98" s="42">
        <v>1</v>
      </c>
      <c r="AA98" s="40">
        <f t="shared" si="31"/>
        <v>3219300</v>
      </c>
      <c r="AB98" s="40">
        <f t="shared" si="28"/>
        <v>143080000</v>
      </c>
      <c r="AC98" s="40">
        <f t="shared" si="36"/>
        <v>5365500</v>
      </c>
      <c r="AD98" s="40">
        <f t="shared" si="25"/>
        <v>0</v>
      </c>
      <c r="AE98" s="56">
        <f t="shared" si="29"/>
        <v>180280800</v>
      </c>
      <c r="AF98" s="504">
        <f>SUM(AE98:AE100)</f>
        <v>318916800</v>
      </c>
      <c r="AG98" s="69" t="s">
        <v>296</v>
      </c>
      <c r="AH98" s="166"/>
      <c r="AI98" s="3"/>
      <c r="AJ98" s="4"/>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row>
    <row r="99" spans="1:249" s="2" customFormat="1" ht="48" x14ac:dyDescent="0.25">
      <c r="A99" s="94">
        <v>27</v>
      </c>
      <c r="B99" s="95" t="s">
        <v>243</v>
      </c>
      <c r="C99" s="246">
        <v>5</v>
      </c>
      <c r="D99" s="246">
        <v>132</v>
      </c>
      <c r="E99" s="216">
        <v>240</v>
      </c>
      <c r="F99" s="214" t="s">
        <v>44</v>
      </c>
      <c r="G99" s="210">
        <v>28</v>
      </c>
      <c r="H99" s="210">
        <v>549</v>
      </c>
      <c r="I99" s="211">
        <v>271.2</v>
      </c>
      <c r="J99" s="212" t="s">
        <v>48</v>
      </c>
      <c r="K99" s="48">
        <v>240</v>
      </c>
      <c r="L99" s="48">
        <f t="shared" si="38"/>
        <v>31.199999999999989</v>
      </c>
      <c r="M99" s="48"/>
      <c r="N99" s="49"/>
      <c r="O99" s="49"/>
      <c r="P99" s="49"/>
      <c r="Q99" s="50">
        <f t="shared" si="32"/>
        <v>271.2</v>
      </c>
      <c r="R99" s="55" t="str">
        <f t="shared" si="35"/>
        <v>LUK</v>
      </c>
      <c r="S99" s="183"/>
      <c r="T99" s="40">
        <v>80000</v>
      </c>
      <c r="U99" s="40">
        <f t="shared" si="39"/>
        <v>21696000</v>
      </c>
      <c r="V99" s="240" t="s">
        <v>244</v>
      </c>
      <c r="W99" s="241" t="s">
        <v>61</v>
      </c>
      <c r="X99" s="242">
        <v>10</v>
      </c>
      <c r="Y99" s="41">
        <v>305000</v>
      </c>
      <c r="Z99" s="42">
        <v>0.8</v>
      </c>
      <c r="AA99" s="40">
        <f t="shared" si="31"/>
        <v>2440000</v>
      </c>
      <c r="AB99" s="40">
        <f t="shared" si="28"/>
        <v>108480000</v>
      </c>
      <c r="AC99" s="40">
        <f t="shared" si="36"/>
        <v>4068000</v>
      </c>
      <c r="AD99" s="40">
        <f t="shared" si="25"/>
        <v>0</v>
      </c>
      <c r="AE99" s="56">
        <f t="shared" si="29"/>
        <v>136684000</v>
      </c>
      <c r="AF99" s="504"/>
      <c r="AG99" s="69" t="s">
        <v>173</v>
      </c>
      <c r="AH99" s="43"/>
      <c r="AI99" s="3"/>
      <c r="AJ99" s="4"/>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row>
    <row r="100" spans="1:249" s="2" customFormat="1" ht="78.75" x14ac:dyDescent="0.25">
      <c r="A100" s="94">
        <v>27</v>
      </c>
      <c r="B100" s="95" t="s">
        <v>243</v>
      </c>
      <c r="C100" s="246"/>
      <c r="D100" s="246"/>
      <c r="E100" s="247"/>
      <c r="F100" s="214" t="s">
        <v>44</v>
      </c>
      <c r="G100" s="210">
        <v>28</v>
      </c>
      <c r="H100" s="210">
        <v>549</v>
      </c>
      <c r="I100" s="211"/>
      <c r="J100" s="212"/>
      <c r="K100" s="48"/>
      <c r="L100" s="48"/>
      <c r="M100" s="48"/>
      <c r="N100" s="49"/>
      <c r="O100" s="49"/>
      <c r="P100" s="49"/>
      <c r="Q100" s="50">
        <f t="shared" si="32"/>
        <v>0</v>
      </c>
      <c r="R100" s="55">
        <f t="shared" si="35"/>
        <v>0</v>
      </c>
      <c r="S100" s="183"/>
      <c r="T100" s="40"/>
      <c r="U100" s="40">
        <f>(K100+L100+N100+O100)*T100</f>
        <v>0</v>
      </c>
      <c r="V100" s="240" t="s">
        <v>244</v>
      </c>
      <c r="W100" s="241" t="s">
        <v>61</v>
      </c>
      <c r="X100" s="242">
        <v>8</v>
      </c>
      <c r="Y100" s="267">
        <v>305000</v>
      </c>
      <c r="Z100" s="42">
        <v>0.8</v>
      </c>
      <c r="AA100" s="40">
        <f t="shared" si="31"/>
        <v>1952000</v>
      </c>
      <c r="AB100" s="40">
        <f t="shared" si="28"/>
        <v>0</v>
      </c>
      <c r="AC100" s="40">
        <f t="shared" si="36"/>
        <v>0</v>
      </c>
      <c r="AD100" s="40">
        <f t="shared" si="25"/>
        <v>0</v>
      </c>
      <c r="AE100" s="56">
        <f t="shared" si="29"/>
        <v>1952000</v>
      </c>
      <c r="AF100" s="504"/>
      <c r="AG100" s="264" t="s">
        <v>245</v>
      </c>
      <c r="AH100" s="43"/>
      <c r="AI100" s="3"/>
      <c r="AJ100" s="4"/>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row>
    <row r="101" spans="1:249" s="2" customFormat="1" ht="42.75" customHeight="1" x14ac:dyDescent="0.25">
      <c r="A101" s="94">
        <v>28</v>
      </c>
      <c r="B101" s="95" t="s">
        <v>246</v>
      </c>
      <c r="C101" s="246"/>
      <c r="D101" s="246"/>
      <c r="E101" s="247"/>
      <c r="F101" s="214" t="s">
        <v>44</v>
      </c>
      <c r="G101" s="210">
        <v>28</v>
      </c>
      <c r="H101" s="210">
        <v>544</v>
      </c>
      <c r="I101" s="211">
        <v>310.3</v>
      </c>
      <c r="J101" s="212" t="s">
        <v>7</v>
      </c>
      <c r="K101" s="48"/>
      <c r="L101" s="48">
        <v>310.3</v>
      </c>
      <c r="M101" s="48"/>
      <c r="N101" s="49"/>
      <c r="O101" s="49"/>
      <c r="P101" s="49"/>
      <c r="Q101" s="50">
        <f t="shared" si="32"/>
        <v>310.3</v>
      </c>
      <c r="R101" s="55" t="str">
        <f t="shared" si="35"/>
        <v>LUC</v>
      </c>
      <c r="S101" s="183"/>
      <c r="T101" s="40">
        <v>80000</v>
      </c>
      <c r="U101" s="40">
        <f>(K101+L101+N101+O101)*T101</f>
        <v>24824000</v>
      </c>
      <c r="V101" s="99" t="s">
        <v>321</v>
      </c>
      <c r="W101" s="241" t="s">
        <v>61</v>
      </c>
      <c r="X101" s="242">
        <v>20</v>
      </c>
      <c r="Y101" s="41">
        <v>118000</v>
      </c>
      <c r="Z101" s="42">
        <v>0.8</v>
      </c>
      <c r="AA101" s="40">
        <f t="shared" si="31"/>
        <v>1888000</v>
      </c>
      <c r="AB101" s="40">
        <f t="shared" si="28"/>
        <v>124120000</v>
      </c>
      <c r="AC101" s="40">
        <f t="shared" si="36"/>
        <v>4654500</v>
      </c>
      <c r="AD101" s="40">
        <f t="shared" si="25"/>
        <v>0</v>
      </c>
      <c r="AE101" s="56">
        <f t="shared" si="29"/>
        <v>155486500</v>
      </c>
      <c r="AF101" s="504">
        <f>AE101+AE102</f>
        <v>156446500</v>
      </c>
      <c r="AG101" s="69" t="s">
        <v>173</v>
      </c>
      <c r="AH101" s="43"/>
      <c r="AI101" s="3"/>
      <c r="AJ101" s="4"/>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row>
    <row r="102" spans="1:249" s="2" customFormat="1" ht="54" customHeight="1" x14ac:dyDescent="0.25">
      <c r="A102" s="94">
        <v>28</v>
      </c>
      <c r="B102" s="95" t="s">
        <v>246</v>
      </c>
      <c r="C102" s="246"/>
      <c r="D102" s="246"/>
      <c r="E102" s="247"/>
      <c r="F102" s="214" t="s">
        <v>44</v>
      </c>
      <c r="G102" s="210">
        <v>28</v>
      </c>
      <c r="H102" s="210">
        <v>544</v>
      </c>
      <c r="I102" s="211"/>
      <c r="J102" s="212"/>
      <c r="K102" s="48"/>
      <c r="L102" s="48"/>
      <c r="M102" s="48"/>
      <c r="N102" s="49"/>
      <c r="O102" s="49"/>
      <c r="P102" s="49"/>
      <c r="Q102" s="50">
        <f t="shared" si="32"/>
        <v>0</v>
      </c>
      <c r="R102" s="55">
        <f t="shared" si="35"/>
        <v>0</v>
      </c>
      <c r="S102" s="183"/>
      <c r="T102" s="40"/>
      <c r="U102" s="40">
        <f>(K102+L102+N102+O102)*T102</f>
        <v>0</v>
      </c>
      <c r="V102" s="99" t="s">
        <v>324</v>
      </c>
      <c r="W102" s="241" t="s">
        <v>61</v>
      </c>
      <c r="X102" s="242">
        <v>30</v>
      </c>
      <c r="Y102" s="41">
        <v>40000</v>
      </c>
      <c r="Z102" s="42">
        <v>0.8</v>
      </c>
      <c r="AA102" s="40">
        <f t="shared" si="31"/>
        <v>960000</v>
      </c>
      <c r="AB102" s="40">
        <f t="shared" si="28"/>
        <v>0</v>
      </c>
      <c r="AC102" s="40">
        <f t="shared" si="36"/>
        <v>0</v>
      </c>
      <c r="AD102" s="40">
        <f t="shared" si="25"/>
        <v>0</v>
      </c>
      <c r="AE102" s="56">
        <f t="shared" si="29"/>
        <v>960000</v>
      </c>
      <c r="AF102" s="504"/>
      <c r="AG102" s="6"/>
      <c r="AH102" s="167"/>
      <c r="AI102" s="3"/>
      <c r="AJ102" s="4"/>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row>
    <row r="103" spans="1:249" s="2" customFormat="1" ht="45" x14ac:dyDescent="0.2">
      <c r="A103" s="94">
        <v>29</v>
      </c>
      <c r="B103" s="95" t="s">
        <v>273</v>
      </c>
      <c r="C103" s="246">
        <v>5</v>
      </c>
      <c r="D103" s="246">
        <v>64</v>
      </c>
      <c r="E103" s="247">
        <v>184</v>
      </c>
      <c r="F103" s="214" t="s">
        <v>33</v>
      </c>
      <c r="G103" s="210">
        <v>29</v>
      </c>
      <c r="H103" s="210">
        <v>91</v>
      </c>
      <c r="I103" s="211">
        <v>190.4</v>
      </c>
      <c r="J103" s="213" t="s">
        <v>7</v>
      </c>
      <c r="K103" s="48">
        <v>71.7</v>
      </c>
      <c r="L103" s="48"/>
      <c r="M103" s="48"/>
      <c r="N103" s="49"/>
      <c r="O103" s="49"/>
      <c r="P103" s="49"/>
      <c r="Q103" s="50">
        <f t="shared" si="32"/>
        <v>71.7</v>
      </c>
      <c r="R103" s="55" t="str">
        <f t="shared" si="35"/>
        <v>LUC</v>
      </c>
      <c r="S103" s="184"/>
      <c r="T103" s="40">
        <v>80000</v>
      </c>
      <c r="U103" s="40">
        <f t="shared" ref="U103:U111" si="40">(K103+L103+N103+O103)*T103</f>
        <v>5736000</v>
      </c>
      <c r="V103" s="158" t="s">
        <v>64</v>
      </c>
      <c r="W103" s="241" t="s">
        <v>24</v>
      </c>
      <c r="X103" s="242">
        <f t="shared" ref="X103" si="41">Q103</f>
        <v>71.7</v>
      </c>
      <c r="Y103" s="41">
        <v>9000</v>
      </c>
      <c r="Z103" s="42">
        <v>1</v>
      </c>
      <c r="AA103" s="40">
        <f t="shared" si="31"/>
        <v>645300</v>
      </c>
      <c r="AB103" s="40">
        <f t="shared" si="28"/>
        <v>28680000</v>
      </c>
      <c r="AC103" s="40">
        <f t="shared" si="36"/>
        <v>1075500</v>
      </c>
      <c r="AD103" s="40">
        <f t="shared" si="25"/>
        <v>0</v>
      </c>
      <c r="AE103" s="56">
        <f t="shared" si="29"/>
        <v>36136800</v>
      </c>
      <c r="AF103" s="250">
        <f>AE103</f>
        <v>36136800</v>
      </c>
      <c r="AG103" s="69" t="s">
        <v>274</v>
      </c>
      <c r="AH103" s="167"/>
      <c r="AI103" s="3"/>
      <c r="AJ103" s="4"/>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row>
    <row r="104" spans="1:249" s="2" customFormat="1" ht="45" x14ac:dyDescent="0.25">
      <c r="A104" s="94">
        <v>30</v>
      </c>
      <c r="B104" s="95" t="s">
        <v>252</v>
      </c>
      <c r="C104" s="246">
        <v>5</v>
      </c>
      <c r="D104" s="246">
        <v>179</v>
      </c>
      <c r="E104" s="247">
        <v>48</v>
      </c>
      <c r="F104" s="249" t="s">
        <v>44</v>
      </c>
      <c r="G104" s="210">
        <v>28</v>
      </c>
      <c r="H104" s="210">
        <v>602</v>
      </c>
      <c r="I104" s="211">
        <v>145</v>
      </c>
      <c r="J104" s="212" t="s">
        <v>48</v>
      </c>
      <c r="K104" s="48">
        <v>48</v>
      </c>
      <c r="L104" s="48">
        <v>94.1</v>
      </c>
      <c r="M104" s="48"/>
      <c r="N104" s="49"/>
      <c r="O104" s="49"/>
      <c r="P104" s="49"/>
      <c r="Q104" s="50">
        <f t="shared" si="32"/>
        <v>142.1</v>
      </c>
      <c r="R104" s="55" t="str">
        <f t="shared" si="35"/>
        <v>LUK</v>
      </c>
      <c r="S104" s="183"/>
      <c r="T104" s="40">
        <v>80000</v>
      </c>
      <c r="U104" s="40">
        <f t="shared" si="40"/>
        <v>11368000</v>
      </c>
      <c r="V104" s="244" t="s">
        <v>64</v>
      </c>
      <c r="W104" s="241" t="s">
        <v>24</v>
      </c>
      <c r="X104" s="242">
        <f>Q104</f>
        <v>142.1</v>
      </c>
      <c r="Y104" s="267">
        <v>9000</v>
      </c>
      <c r="Z104" s="42">
        <v>1</v>
      </c>
      <c r="AA104" s="40">
        <f t="shared" si="31"/>
        <v>1278900</v>
      </c>
      <c r="AB104" s="40">
        <f t="shared" si="28"/>
        <v>56840000</v>
      </c>
      <c r="AC104" s="40">
        <f t="shared" si="36"/>
        <v>2131500</v>
      </c>
      <c r="AD104" s="40">
        <f t="shared" si="25"/>
        <v>0</v>
      </c>
      <c r="AE104" s="56">
        <f t="shared" si="29"/>
        <v>71618400</v>
      </c>
      <c r="AF104" s="56">
        <f>AE104</f>
        <v>71618400</v>
      </c>
      <c r="AG104" s="69" t="s">
        <v>253</v>
      </c>
      <c r="AH104" s="169" t="s">
        <v>254</v>
      </c>
      <c r="AI104" s="3"/>
      <c r="AJ104" s="4"/>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row>
    <row r="105" spans="1:249" s="2" customFormat="1" ht="29.25" customHeight="1" x14ac:dyDescent="0.25">
      <c r="A105" s="94">
        <v>31</v>
      </c>
      <c r="B105" s="95" t="s">
        <v>255</v>
      </c>
      <c r="C105" s="246"/>
      <c r="D105" s="246"/>
      <c r="E105" s="247"/>
      <c r="F105" s="248" t="s">
        <v>256</v>
      </c>
      <c r="G105" s="210">
        <v>28</v>
      </c>
      <c r="H105" s="210">
        <v>537</v>
      </c>
      <c r="I105" s="211">
        <v>164.2</v>
      </c>
      <c r="J105" s="212" t="s">
        <v>48</v>
      </c>
      <c r="K105" s="48"/>
      <c r="L105" s="48">
        <v>164.2</v>
      </c>
      <c r="M105" s="48"/>
      <c r="N105" s="49"/>
      <c r="O105" s="49"/>
      <c r="P105" s="49"/>
      <c r="Q105" s="50">
        <f t="shared" si="32"/>
        <v>164.2</v>
      </c>
      <c r="R105" s="55" t="str">
        <f t="shared" si="35"/>
        <v>LUK</v>
      </c>
      <c r="S105" s="183"/>
      <c r="T105" s="40">
        <v>80000</v>
      </c>
      <c r="U105" s="40">
        <f t="shared" si="40"/>
        <v>13136000</v>
      </c>
      <c r="V105" s="158" t="s">
        <v>64</v>
      </c>
      <c r="W105" s="241" t="s">
        <v>24</v>
      </c>
      <c r="X105" s="242">
        <f>Q105</f>
        <v>164.2</v>
      </c>
      <c r="Y105" s="41">
        <v>9000</v>
      </c>
      <c r="Z105" s="42">
        <v>1</v>
      </c>
      <c r="AA105" s="40">
        <f t="shared" si="31"/>
        <v>1477800</v>
      </c>
      <c r="AB105" s="40">
        <f t="shared" si="28"/>
        <v>65680000</v>
      </c>
      <c r="AC105" s="40">
        <f t="shared" si="36"/>
        <v>2463000</v>
      </c>
      <c r="AD105" s="40">
        <f t="shared" si="25"/>
        <v>0</v>
      </c>
      <c r="AE105" s="56">
        <f t="shared" si="29"/>
        <v>82756800</v>
      </c>
      <c r="AF105" s="504">
        <f>SUM(AE105:AE107)</f>
        <v>229138800</v>
      </c>
      <c r="AG105" s="69" t="s">
        <v>326</v>
      </c>
      <c r="AH105" s="43"/>
      <c r="AI105" s="3"/>
      <c r="AJ105" s="4"/>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row>
    <row r="106" spans="1:249" s="2" customFormat="1" ht="93.75" customHeight="1" x14ac:dyDescent="0.25">
      <c r="A106" s="94">
        <v>31</v>
      </c>
      <c r="B106" s="95" t="s">
        <v>255</v>
      </c>
      <c r="C106" s="246">
        <v>5</v>
      </c>
      <c r="D106" s="246">
        <v>132</v>
      </c>
      <c r="E106" s="247">
        <v>288</v>
      </c>
      <c r="F106" s="249" t="s">
        <v>44</v>
      </c>
      <c r="G106" s="210">
        <v>28</v>
      </c>
      <c r="H106" s="210">
        <v>550</v>
      </c>
      <c r="I106" s="211">
        <v>294.8</v>
      </c>
      <c r="J106" s="212" t="s">
        <v>48</v>
      </c>
      <c r="K106" s="48">
        <v>288</v>
      </c>
      <c r="L106" s="48">
        <f>I106-K106</f>
        <v>6.8000000000000114</v>
      </c>
      <c r="M106" s="48"/>
      <c r="N106" s="49"/>
      <c r="O106" s="49"/>
      <c r="P106" s="49"/>
      <c r="Q106" s="50">
        <f t="shared" si="32"/>
        <v>294.8</v>
      </c>
      <c r="R106" s="55" t="str">
        <f t="shared" si="35"/>
        <v>LUK</v>
      </c>
      <c r="S106" s="183"/>
      <c r="T106" s="40">
        <v>80000</v>
      </c>
      <c r="U106" s="40">
        <f t="shared" si="40"/>
        <v>23584000</v>
      </c>
      <c r="V106" s="158" t="s">
        <v>267</v>
      </c>
      <c r="W106" s="241" t="s">
        <v>24</v>
      </c>
      <c r="X106" s="242">
        <v>100</v>
      </c>
      <c r="Y106" s="41"/>
      <c r="Z106" s="42"/>
      <c r="AA106" s="40">
        <f t="shared" si="31"/>
        <v>0</v>
      </c>
      <c r="AB106" s="40">
        <f t="shared" si="28"/>
        <v>117920000</v>
      </c>
      <c r="AC106" s="40">
        <f t="shared" si="36"/>
        <v>4422000</v>
      </c>
      <c r="AD106" s="40">
        <f t="shared" si="25"/>
        <v>0</v>
      </c>
      <c r="AE106" s="56">
        <f t="shared" si="29"/>
        <v>145926000</v>
      </c>
      <c r="AF106" s="504"/>
      <c r="AG106" s="69" t="s">
        <v>266</v>
      </c>
      <c r="AH106" s="166"/>
      <c r="AI106" s="3"/>
      <c r="AJ106" s="4"/>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row>
    <row r="107" spans="1:249" s="2" customFormat="1" ht="66.75" customHeight="1" x14ac:dyDescent="0.25">
      <c r="A107" s="94">
        <v>31</v>
      </c>
      <c r="B107" s="95" t="s">
        <v>255</v>
      </c>
      <c r="C107" s="246"/>
      <c r="D107" s="246"/>
      <c r="E107" s="247"/>
      <c r="F107" s="249" t="s">
        <v>44</v>
      </c>
      <c r="G107" s="210">
        <v>28</v>
      </c>
      <c r="H107" s="210">
        <v>550</v>
      </c>
      <c r="I107" s="211"/>
      <c r="J107" s="212"/>
      <c r="K107" s="48"/>
      <c r="L107" s="48"/>
      <c r="M107" s="48"/>
      <c r="N107" s="49"/>
      <c r="O107" s="49"/>
      <c r="P107" s="49"/>
      <c r="Q107" s="50">
        <f t="shared" si="32"/>
        <v>0</v>
      </c>
      <c r="R107" s="55">
        <f t="shared" si="35"/>
        <v>0</v>
      </c>
      <c r="S107" s="183"/>
      <c r="T107" s="40"/>
      <c r="U107" s="40">
        <f t="shared" si="40"/>
        <v>0</v>
      </c>
      <c r="V107" s="96" t="s">
        <v>311</v>
      </c>
      <c r="W107" s="241" t="s">
        <v>61</v>
      </c>
      <c r="X107" s="242">
        <v>2</v>
      </c>
      <c r="Y107" s="41">
        <v>285000</v>
      </c>
      <c r="Z107" s="42">
        <v>0.8</v>
      </c>
      <c r="AA107" s="40">
        <f t="shared" si="31"/>
        <v>456000</v>
      </c>
      <c r="AB107" s="40">
        <f t="shared" si="28"/>
        <v>0</v>
      </c>
      <c r="AC107" s="40">
        <f t="shared" si="36"/>
        <v>0</v>
      </c>
      <c r="AD107" s="40">
        <f t="shared" si="25"/>
        <v>0</v>
      </c>
      <c r="AE107" s="56">
        <f t="shared" si="29"/>
        <v>456000</v>
      </c>
      <c r="AF107" s="504"/>
      <c r="AG107" s="264"/>
      <c r="AH107" s="43"/>
      <c r="AI107" s="3"/>
      <c r="AJ107" s="4"/>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row>
    <row r="108" spans="1:249" s="2" customFormat="1" ht="51" x14ac:dyDescent="0.25">
      <c r="A108" s="94">
        <v>32</v>
      </c>
      <c r="B108" s="95" t="s">
        <v>257</v>
      </c>
      <c r="C108" s="246">
        <v>5</v>
      </c>
      <c r="D108" s="246">
        <v>43</v>
      </c>
      <c r="E108" s="247">
        <f>312+48</f>
        <v>360</v>
      </c>
      <c r="F108" s="214" t="s">
        <v>33</v>
      </c>
      <c r="G108" s="210">
        <v>29</v>
      </c>
      <c r="H108" s="210">
        <v>59</v>
      </c>
      <c r="I108" s="211">
        <v>425.8</v>
      </c>
      <c r="J108" s="212" t="s">
        <v>7</v>
      </c>
      <c r="K108" s="48">
        <v>360</v>
      </c>
      <c r="L108" s="48">
        <f>I108-K108</f>
        <v>65.800000000000011</v>
      </c>
      <c r="M108" s="48"/>
      <c r="N108" s="49"/>
      <c r="O108" s="49"/>
      <c r="P108" s="49"/>
      <c r="Q108" s="50">
        <f t="shared" si="32"/>
        <v>425.8</v>
      </c>
      <c r="R108" s="55" t="str">
        <f t="shared" si="35"/>
        <v>LUC</v>
      </c>
      <c r="S108" s="183"/>
      <c r="T108" s="40">
        <v>80000</v>
      </c>
      <c r="U108" s="40">
        <f t="shared" si="40"/>
        <v>34064000</v>
      </c>
      <c r="V108" s="271" t="s">
        <v>258</v>
      </c>
      <c r="W108" s="241" t="s">
        <v>61</v>
      </c>
      <c r="X108" s="242">
        <v>8</v>
      </c>
      <c r="Y108" s="41">
        <v>45000</v>
      </c>
      <c r="Z108" s="42">
        <v>0.8</v>
      </c>
      <c r="AA108" s="40">
        <f t="shared" si="31"/>
        <v>288000</v>
      </c>
      <c r="AB108" s="40">
        <f t="shared" si="28"/>
        <v>170320000</v>
      </c>
      <c r="AC108" s="40">
        <f t="shared" si="36"/>
        <v>6387000</v>
      </c>
      <c r="AD108" s="40">
        <f t="shared" si="25"/>
        <v>0</v>
      </c>
      <c r="AE108" s="56">
        <f t="shared" si="29"/>
        <v>211059000</v>
      </c>
      <c r="AF108" s="504">
        <f>SUM(AE108:AE114)</f>
        <v>1417370200</v>
      </c>
      <c r="AG108" s="6"/>
      <c r="AH108" s="43"/>
      <c r="AI108" s="3"/>
      <c r="AJ108" s="4"/>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row>
    <row r="109" spans="1:249" s="2" customFormat="1" ht="51" x14ac:dyDescent="0.25">
      <c r="A109" s="94">
        <v>32</v>
      </c>
      <c r="B109" s="95" t="s">
        <v>257</v>
      </c>
      <c r="C109" s="246"/>
      <c r="D109" s="246"/>
      <c r="E109" s="247"/>
      <c r="F109" s="214" t="s">
        <v>33</v>
      </c>
      <c r="G109" s="210">
        <v>29</v>
      </c>
      <c r="H109" s="210">
        <v>59</v>
      </c>
      <c r="I109" s="211"/>
      <c r="J109" s="212"/>
      <c r="K109" s="48"/>
      <c r="L109" s="48"/>
      <c r="M109" s="48"/>
      <c r="N109" s="49"/>
      <c r="O109" s="49"/>
      <c r="P109" s="49"/>
      <c r="Q109" s="50"/>
      <c r="R109" s="55"/>
      <c r="S109" s="183"/>
      <c r="T109" s="40"/>
      <c r="U109" s="40"/>
      <c r="V109" s="271" t="s">
        <v>303</v>
      </c>
      <c r="W109" s="241" t="s">
        <v>61</v>
      </c>
      <c r="X109" s="242">
        <v>2</v>
      </c>
      <c r="Y109" s="41">
        <v>1000000</v>
      </c>
      <c r="Z109" s="42">
        <v>0.8</v>
      </c>
      <c r="AA109" s="40">
        <f t="shared" si="31"/>
        <v>1600000</v>
      </c>
      <c r="AB109" s="40"/>
      <c r="AC109" s="40"/>
      <c r="AD109" s="40">
        <f t="shared" si="25"/>
        <v>0</v>
      </c>
      <c r="AE109" s="56">
        <f t="shared" si="29"/>
        <v>1600000</v>
      </c>
      <c r="AF109" s="504"/>
      <c r="AG109" s="6"/>
      <c r="AH109" s="43"/>
      <c r="AI109" s="3"/>
      <c r="AJ109" s="4"/>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row>
    <row r="110" spans="1:249" s="2" customFormat="1" ht="27" customHeight="1" x14ac:dyDescent="0.25">
      <c r="A110" s="94">
        <v>32</v>
      </c>
      <c r="B110" s="95" t="s">
        <v>257</v>
      </c>
      <c r="C110" s="494">
        <v>5</v>
      </c>
      <c r="D110" s="494">
        <v>40</v>
      </c>
      <c r="E110" s="495">
        <v>792</v>
      </c>
      <c r="F110" s="214" t="s">
        <v>33</v>
      </c>
      <c r="G110" s="210">
        <v>29</v>
      </c>
      <c r="H110" s="210">
        <v>36</v>
      </c>
      <c r="I110" s="211">
        <v>372.3</v>
      </c>
      <c r="J110" s="212" t="s">
        <v>7</v>
      </c>
      <c r="K110" s="48">
        <v>372.3</v>
      </c>
      <c r="L110" s="48"/>
      <c r="M110" s="48"/>
      <c r="N110" s="49"/>
      <c r="O110" s="49"/>
      <c r="P110" s="49"/>
      <c r="Q110" s="50">
        <f t="shared" si="32"/>
        <v>372.3</v>
      </c>
      <c r="R110" s="55" t="str">
        <f t="shared" si="35"/>
        <v>LUC</v>
      </c>
      <c r="S110" s="183"/>
      <c r="T110" s="40">
        <v>80000</v>
      </c>
      <c r="U110" s="40">
        <f t="shared" si="40"/>
        <v>29784000</v>
      </c>
      <c r="V110" s="158" t="s">
        <v>64</v>
      </c>
      <c r="W110" s="241" t="s">
        <v>24</v>
      </c>
      <c r="X110" s="242">
        <f t="shared" ref="X110:X114" si="42">Q110</f>
        <v>372.3</v>
      </c>
      <c r="Y110" s="41">
        <v>9000</v>
      </c>
      <c r="Z110" s="42">
        <v>1</v>
      </c>
      <c r="AA110" s="40">
        <f t="shared" si="31"/>
        <v>3350700</v>
      </c>
      <c r="AB110" s="40">
        <f t="shared" si="28"/>
        <v>148920000</v>
      </c>
      <c r="AC110" s="40">
        <f t="shared" si="36"/>
        <v>5584500</v>
      </c>
      <c r="AD110" s="40">
        <f t="shared" si="25"/>
        <v>0</v>
      </c>
      <c r="AE110" s="56">
        <f t="shared" si="29"/>
        <v>187639200</v>
      </c>
      <c r="AF110" s="504"/>
      <c r="AG110" s="6"/>
      <c r="AH110" s="43"/>
      <c r="AI110" s="3"/>
      <c r="AJ110" s="4"/>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row>
    <row r="111" spans="1:249" s="2" customFormat="1" ht="27" customHeight="1" x14ac:dyDescent="0.25">
      <c r="A111" s="94">
        <v>32</v>
      </c>
      <c r="B111" s="95" t="s">
        <v>257</v>
      </c>
      <c r="C111" s="494"/>
      <c r="D111" s="494"/>
      <c r="E111" s="495"/>
      <c r="F111" s="214" t="s">
        <v>33</v>
      </c>
      <c r="G111" s="210">
        <v>29</v>
      </c>
      <c r="H111" s="210">
        <v>46</v>
      </c>
      <c r="I111" s="211">
        <v>407.4</v>
      </c>
      <c r="J111" s="212" t="s">
        <v>7</v>
      </c>
      <c r="K111" s="48">
        <v>407.4</v>
      </c>
      <c r="L111" s="48"/>
      <c r="M111" s="48"/>
      <c r="N111" s="49"/>
      <c r="O111" s="49"/>
      <c r="P111" s="49"/>
      <c r="Q111" s="50">
        <f t="shared" si="32"/>
        <v>407.4</v>
      </c>
      <c r="R111" s="55" t="str">
        <f t="shared" si="35"/>
        <v>LUC</v>
      </c>
      <c r="S111" s="183"/>
      <c r="T111" s="40">
        <v>80000</v>
      </c>
      <c r="U111" s="40">
        <f t="shared" si="40"/>
        <v>32592000</v>
      </c>
      <c r="V111" s="158" t="s">
        <v>64</v>
      </c>
      <c r="W111" s="241" t="s">
        <v>24</v>
      </c>
      <c r="X111" s="242">
        <f t="shared" si="42"/>
        <v>407.4</v>
      </c>
      <c r="Y111" s="41">
        <v>9000</v>
      </c>
      <c r="Z111" s="42">
        <v>1</v>
      </c>
      <c r="AA111" s="40">
        <f t="shared" si="31"/>
        <v>3666600</v>
      </c>
      <c r="AB111" s="40">
        <f t="shared" si="28"/>
        <v>162960000</v>
      </c>
      <c r="AC111" s="40">
        <f t="shared" si="36"/>
        <v>6111000</v>
      </c>
      <c r="AD111" s="40">
        <f t="shared" si="25"/>
        <v>0</v>
      </c>
      <c r="AE111" s="56">
        <f t="shared" si="29"/>
        <v>205329600</v>
      </c>
      <c r="AF111" s="504"/>
      <c r="AG111" s="6"/>
      <c r="AH111" s="43"/>
      <c r="AI111" s="3"/>
      <c r="AJ111" s="4"/>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row>
    <row r="112" spans="1:249" s="2" customFormat="1" ht="27" customHeight="1" x14ac:dyDescent="0.25">
      <c r="A112" s="94">
        <v>32</v>
      </c>
      <c r="B112" s="95" t="s">
        <v>257</v>
      </c>
      <c r="C112" s="494">
        <v>5</v>
      </c>
      <c r="D112" s="494">
        <v>79</v>
      </c>
      <c r="E112" s="495">
        <v>864</v>
      </c>
      <c r="F112" s="214" t="s">
        <v>33</v>
      </c>
      <c r="G112" s="210">
        <v>28</v>
      </c>
      <c r="H112" s="210">
        <v>612</v>
      </c>
      <c r="I112" s="211">
        <v>388.5</v>
      </c>
      <c r="J112" s="212" t="s">
        <v>7</v>
      </c>
      <c r="K112" s="48">
        <v>388.5</v>
      </c>
      <c r="L112" s="48"/>
      <c r="M112" s="48"/>
      <c r="N112" s="49"/>
      <c r="O112" s="49"/>
      <c r="P112" s="49"/>
      <c r="Q112" s="50">
        <f t="shared" si="32"/>
        <v>388.5</v>
      </c>
      <c r="R112" s="55" t="str">
        <f t="shared" si="35"/>
        <v>LUC</v>
      </c>
      <c r="S112" s="183"/>
      <c r="T112" s="40">
        <v>80000</v>
      </c>
      <c r="U112" s="40">
        <f>(K112+L112+N112+O112)*T112</f>
        <v>31080000</v>
      </c>
      <c r="V112" s="158" t="s">
        <v>64</v>
      </c>
      <c r="W112" s="241" t="s">
        <v>24</v>
      </c>
      <c r="X112" s="242">
        <f t="shared" si="42"/>
        <v>388.5</v>
      </c>
      <c r="Y112" s="41">
        <v>9000</v>
      </c>
      <c r="Z112" s="42">
        <v>1</v>
      </c>
      <c r="AA112" s="40">
        <f t="shared" si="31"/>
        <v>3496500</v>
      </c>
      <c r="AB112" s="40">
        <f t="shared" si="28"/>
        <v>155400000</v>
      </c>
      <c r="AC112" s="40">
        <f t="shared" si="36"/>
        <v>5827500</v>
      </c>
      <c r="AD112" s="40">
        <f t="shared" si="25"/>
        <v>0</v>
      </c>
      <c r="AE112" s="56">
        <f t="shared" si="29"/>
        <v>195804000</v>
      </c>
      <c r="AF112" s="504"/>
      <c r="AG112" s="69"/>
      <c r="AH112" s="43"/>
      <c r="AI112" s="3"/>
      <c r="AJ112" s="4"/>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row>
    <row r="113" spans="1:800 1051:1824 2075:2848 3099:3872 4123:4896 5147:5920 6171:6944 7195:7968 8219:8992 9243:10016 10267:11040 11291:12064 12315:13088 13339:14112 14363:15136 15387:16160" s="2" customFormat="1" ht="27" customHeight="1" x14ac:dyDescent="0.25">
      <c r="A113" s="94">
        <v>32</v>
      </c>
      <c r="B113" s="95" t="s">
        <v>257</v>
      </c>
      <c r="C113" s="494"/>
      <c r="D113" s="494"/>
      <c r="E113" s="495"/>
      <c r="F113" s="214" t="s">
        <v>33</v>
      </c>
      <c r="G113" s="210">
        <v>28</v>
      </c>
      <c r="H113" s="210">
        <v>542</v>
      </c>
      <c r="I113" s="211">
        <v>481.2</v>
      </c>
      <c r="J113" s="212" t="s">
        <v>7</v>
      </c>
      <c r="K113" s="48">
        <f>864-388.5</f>
        <v>475.5</v>
      </c>
      <c r="L113" s="48">
        <f>I112+I113-K112-K113</f>
        <v>5.7000000000000455</v>
      </c>
      <c r="M113" s="48"/>
      <c r="N113" s="49"/>
      <c r="O113" s="49"/>
      <c r="P113" s="49"/>
      <c r="Q113" s="50">
        <f t="shared" si="32"/>
        <v>481.20000000000005</v>
      </c>
      <c r="R113" s="55" t="str">
        <f t="shared" si="35"/>
        <v>LUC</v>
      </c>
      <c r="S113" s="183"/>
      <c r="T113" s="40">
        <v>80000</v>
      </c>
      <c r="U113" s="40">
        <f t="shared" ref="U113:U114" si="43">(K113+L113+N113+O113)*T113</f>
        <v>38496000</v>
      </c>
      <c r="V113" s="158" t="s">
        <v>64</v>
      </c>
      <c r="W113" s="241" t="s">
        <v>24</v>
      </c>
      <c r="X113" s="242">
        <f t="shared" si="42"/>
        <v>481.20000000000005</v>
      </c>
      <c r="Y113" s="41">
        <v>9000</v>
      </c>
      <c r="Z113" s="42">
        <v>1</v>
      </c>
      <c r="AA113" s="40">
        <f t="shared" si="31"/>
        <v>4330800</v>
      </c>
      <c r="AB113" s="40">
        <f t="shared" si="28"/>
        <v>192480000</v>
      </c>
      <c r="AC113" s="40">
        <f t="shared" si="36"/>
        <v>7218000.0000000009</v>
      </c>
      <c r="AD113" s="40">
        <f t="shared" si="25"/>
        <v>0</v>
      </c>
      <c r="AE113" s="56">
        <f t="shared" si="29"/>
        <v>242524800</v>
      </c>
      <c r="AF113" s="504"/>
      <c r="AG113" s="6"/>
      <c r="AH113" s="43"/>
      <c r="AI113" s="3"/>
      <c r="AJ113" s="4"/>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row>
    <row r="114" spans="1:800 1051:1824 2075:2848 3099:3872 4123:4896 5147:5920 6171:6944 7195:7968 8219:8992 9243:10016 10267:11040 11291:12064 12315:13088 13339:14112 14363:15136 15387:16160" s="2" customFormat="1" ht="27" customHeight="1" x14ac:dyDescent="0.25">
      <c r="A114" s="94">
        <v>32</v>
      </c>
      <c r="B114" s="95" t="s">
        <v>257</v>
      </c>
      <c r="C114" s="246">
        <v>5</v>
      </c>
      <c r="D114" s="246">
        <v>133</v>
      </c>
      <c r="E114" s="247">
        <v>600</v>
      </c>
      <c r="F114" s="214" t="s">
        <v>39</v>
      </c>
      <c r="G114" s="210">
        <v>28</v>
      </c>
      <c r="H114" s="210">
        <v>617</v>
      </c>
      <c r="I114" s="211">
        <v>740.9</v>
      </c>
      <c r="J114" s="212" t="s">
        <v>7</v>
      </c>
      <c r="K114" s="48">
        <v>600</v>
      </c>
      <c r="L114" s="48">
        <f>I114-K114</f>
        <v>140.89999999999998</v>
      </c>
      <c r="M114" s="48"/>
      <c r="N114" s="49"/>
      <c r="O114" s="49"/>
      <c r="P114" s="49"/>
      <c r="Q114" s="50">
        <f t="shared" si="32"/>
        <v>740.9</v>
      </c>
      <c r="R114" s="55" t="str">
        <f t="shared" si="35"/>
        <v>LUC</v>
      </c>
      <c r="S114" s="183"/>
      <c r="T114" s="40">
        <v>80000</v>
      </c>
      <c r="U114" s="40">
        <f t="shared" si="43"/>
        <v>59272000</v>
      </c>
      <c r="V114" s="158" t="s">
        <v>64</v>
      </c>
      <c r="W114" s="241" t="s">
        <v>24</v>
      </c>
      <c r="X114" s="242">
        <f t="shared" si="42"/>
        <v>740.9</v>
      </c>
      <c r="Y114" s="41">
        <v>9000</v>
      </c>
      <c r="Z114" s="42">
        <v>1</v>
      </c>
      <c r="AA114" s="40">
        <f t="shared" si="31"/>
        <v>6668100</v>
      </c>
      <c r="AB114" s="40">
        <f t="shared" si="28"/>
        <v>296360000</v>
      </c>
      <c r="AC114" s="40">
        <f t="shared" si="36"/>
        <v>11113500</v>
      </c>
      <c r="AD114" s="40">
        <f t="shared" si="25"/>
        <v>0</v>
      </c>
      <c r="AE114" s="56">
        <f t="shared" si="29"/>
        <v>373413600</v>
      </c>
      <c r="AF114" s="504"/>
      <c r="AG114" s="6"/>
      <c r="AH114" s="43">
        <v>338177070</v>
      </c>
      <c r="AI114" s="3"/>
      <c r="AJ114" s="4"/>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row>
    <row r="115" spans="1:800 1051:1824 2075:2848 3099:3872 4123:4896 5147:5920 6171:6944 7195:7968 8219:8992 9243:10016 10267:11040 11291:12064 12315:13088 13339:14112 14363:15136 15387:16160" s="259" customFormat="1" ht="21.75" customHeight="1" x14ac:dyDescent="0.2">
      <c r="A115" s="252"/>
      <c r="B115" s="253" t="s">
        <v>25</v>
      </c>
      <c r="C115" s="254"/>
      <c r="D115" s="254"/>
      <c r="E115" s="261">
        <f>SUBTOTAL(9,E8:E114)</f>
        <v>28072</v>
      </c>
      <c r="F115" s="261">
        <f>SUBTOTAL(9,F8:F114)</f>
        <v>0</v>
      </c>
      <c r="G115" s="261"/>
      <c r="H115" s="261"/>
      <c r="I115" s="261">
        <f t="shared" ref="I115:S115" si="44">SUBTOTAL(9,I8:I114)</f>
        <v>40982.700000000019</v>
      </c>
      <c r="J115" s="261">
        <f t="shared" si="44"/>
        <v>0</v>
      </c>
      <c r="K115" s="261">
        <f t="shared" si="44"/>
        <v>25584.6</v>
      </c>
      <c r="L115" s="261">
        <f t="shared" si="44"/>
        <v>7537.0999999999985</v>
      </c>
      <c r="M115" s="261">
        <f t="shared" si="44"/>
        <v>311.3</v>
      </c>
      <c r="N115" s="261">
        <f t="shared" si="44"/>
        <v>60.800000000000004</v>
      </c>
      <c r="O115" s="261">
        <f t="shared" si="44"/>
        <v>82.699999999999989</v>
      </c>
      <c r="P115" s="261">
        <f t="shared" si="44"/>
        <v>0</v>
      </c>
      <c r="Q115" s="261">
        <f t="shared" si="44"/>
        <v>33576.5</v>
      </c>
      <c r="R115" s="261">
        <f t="shared" si="44"/>
        <v>0</v>
      </c>
      <c r="S115" s="261">
        <f t="shared" si="44"/>
        <v>657.3</v>
      </c>
      <c r="T115" s="261"/>
      <c r="U115" s="262">
        <f>SUBTOTAL(9,U8:U114)</f>
        <v>2661216000</v>
      </c>
      <c r="V115" s="53">
        <f>SUBTOTAL(9,V8:V114)</f>
        <v>0</v>
      </c>
      <c r="W115" s="47">
        <f>SUBTOTAL(9,W8:W114)</f>
        <v>0</v>
      </c>
      <c r="X115" s="47">
        <f>SUBTOTAL(9,X8:X114)</f>
        <v>31320.400000000005</v>
      </c>
      <c r="Y115" s="101"/>
      <c r="Z115" s="47"/>
      <c r="AA115" s="101">
        <f t="shared" ref="AA115:AF115" si="45">SUBTOTAL(9,AA8:AA114)</f>
        <v>338177070</v>
      </c>
      <c r="AB115" s="101">
        <f t="shared" si="45"/>
        <v>13306080000</v>
      </c>
      <c r="AC115" s="101">
        <f t="shared" si="45"/>
        <v>498978000</v>
      </c>
      <c r="AD115" s="101">
        <f t="shared" si="45"/>
        <v>24904000</v>
      </c>
      <c r="AE115" s="101">
        <f t="shared" si="45"/>
        <v>16829355070</v>
      </c>
      <c r="AF115" s="101">
        <f t="shared" si="45"/>
        <v>16829355070</v>
      </c>
      <c r="AG115" s="255">
        <f>SUM(AG8:AG9)</f>
        <v>0</v>
      </c>
      <c r="AH115" s="511">
        <v>16829355070</v>
      </c>
      <c r="AI115" s="511"/>
      <c r="AJ115" s="258"/>
      <c r="JW115" s="102"/>
      <c r="KB115" s="102"/>
      <c r="TS115" s="102"/>
      <c r="TX115" s="102"/>
      <c r="ADO115" s="102"/>
      <c r="ADT115" s="102"/>
      <c r="ANK115" s="102"/>
      <c r="ANP115" s="102"/>
      <c r="AXG115" s="102"/>
      <c r="AXL115" s="102"/>
      <c r="BHC115" s="102"/>
      <c r="BHH115" s="102"/>
      <c r="BQY115" s="102"/>
      <c r="BRD115" s="102"/>
      <c r="CAU115" s="102"/>
      <c r="CAZ115" s="102"/>
      <c r="CKQ115" s="102"/>
      <c r="CKV115" s="102"/>
      <c r="CUM115" s="102"/>
      <c r="CUR115" s="102"/>
      <c r="DEI115" s="102"/>
      <c r="DEN115" s="102"/>
      <c r="DOE115" s="102"/>
      <c r="DOJ115" s="102"/>
      <c r="DYA115" s="102"/>
      <c r="DYF115" s="102"/>
      <c r="EHW115" s="102"/>
      <c r="EIB115" s="102"/>
      <c r="ERS115" s="102"/>
      <c r="ERX115" s="102"/>
      <c r="FBO115" s="102"/>
      <c r="FBT115" s="102"/>
      <c r="FLK115" s="102"/>
      <c r="FLP115" s="102"/>
      <c r="FVG115" s="102"/>
      <c r="FVL115" s="102"/>
      <c r="GFC115" s="102"/>
      <c r="GFH115" s="102"/>
      <c r="GOY115" s="102"/>
      <c r="GPD115" s="102"/>
      <c r="GYU115" s="102"/>
      <c r="GYZ115" s="102"/>
      <c r="HIQ115" s="102"/>
      <c r="HIV115" s="102"/>
      <c r="HSM115" s="102"/>
      <c r="HSR115" s="102"/>
      <c r="ICI115" s="102"/>
      <c r="ICN115" s="102"/>
      <c r="IME115" s="102"/>
      <c r="IMJ115" s="102"/>
      <c r="IWA115" s="102"/>
      <c r="IWF115" s="102"/>
      <c r="JFW115" s="102"/>
      <c r="JGB115" s="102"/>
      <c r="JPS115" s="102"/>
      <c r="JPX115" s="102"/>
      <c r="JZO115" s="102"/>
      <c r="JZT115" s="102"/>
      <c r="KJK115" s="102"/>
      <c r="KJP115" s="102"/>
      <c r="KTG115" s="102"/>
      <c r="KTL115" s="102"/>
      <c r="LDC115" s="102"/>
      <c r="LDH115" s="102"/>
      <c r="LMY115" s="102"/>
      <c r="LND115" s="102"/>
      <c r="LWU115" s="102"/>
      <c r="LWZ115" s="102"/>
      <c r="MGQ115" s="102"/>
      <c r="MGV115" s="102"/>
      <c r="MQM115" s="102"/>
      <c r="MQR115" s="102"/>
      <c r="NAI115" s="102"/>
      <c r="NAN115" s="102"/>
      <c r="NKE115" s="102"/>
      <c r="NKJ115" s="102"/>
      <c r="NUA115" s="102"/>
      <c r="NUF115" s="102"/>
      <c r="ODW115" s="102"/>
      <c r="OEB115" s="102"/>
      <c r="ONS115" s="102"/>
      <c r="ONX115" s="102"/>
      <c r="OXO115" s="102"/>
      <c r="OXT115" s="102"/>
      <c r="PHK115" s="102"/>
      <c r="PHP115" s="102"/>
      <c r="PRG115" s="102"/>
      <c r="PRL115" s="102"/>
      <c r="QBC115" s="102"/>
      <c r="QBH115" s="102"/>
      <c r="QKY115" s="102"/>
      <c r="QLD115" s="102"/>
      <c r="QUU115" s="102"/>
      <c r="QUZ115" s="102"/>
      <c r="REQ115" s="102"/>
      <c r="REV115" s="102"/>
      <c r="ROM115" s="102"/>
      <c r="ROR115" s="102"/>
      <c r="RYI115" s="102"/>
      <c r="RYN115" s="102"/>
      <c r="SIE115" s="102"/>
      <c r="SIJ115" s="102"/>
      <c r="SSA115" s="102"/>
      <c r="SSF115" s="102"/>
      <c r="TBW115" s="102"/>
      <c r="TCB115" s="102"/>
      <c r="TLS115" s="102"/>
      <c r="TLX115" s="102"/>
      <c r="TVO115" s="102"/>
      <c r="TVT115" s="102"/>
      <c r="UFK115" s="102"/>
      <c r="UFP115" s="102"/>
      <c r="UPG115" s="102"/>
      <c r="UPL115" s="102"/>
      <c r="UZC115" s="102"/>
      <c r="UZH115" s="102"/>
      <c r="VIY115" s="102"/>
      <c r="VJD115" s="102"/>
      <c r="VSU115" s="102"/>
      <c r="VSZ115" s="102"/>
      <c r="WCQ115" s="102"/>
      <c r="WCV115" s="102"/>
      <c r="WMM115" s="102"/>
      <c r="WMR115" s="102"/>
      <c r="WWI115" s="102"/>
      <c r="WWN115" s="102"/>
    </row>
    <row r="116" spans="1:800 1051:1824 2075:2848 3099:3872 4123:4896 5147:5920 6171:6944 7195:7968 8219:8992 9243:10016 10267:11040 11291:12064 12315:13088 13339:14112 14363:15136 15387:16160" ht="9.75" customHeight="1" x14ac:dyDescent="0.25">
      <c r="U116" s="227"/>
      <c r="X116" s="103"/>
      <c r="AJ116" s="107"/>
    </row>
    <row r="117" spans="1:800 1051:1824 2075:2848 3099:3872 4123:4896 5147:5920 6171:6944 7195:7968 8219:8992 9243:10016 10267:11040 11291:12064 12315:13088 13339:14112 14363:15136 15387:16160" x14ac:dyDescent="0.25">
      <c r="A117" s="378"/>
      <c r="B117" s="379"/>
      <c r="C117" s="380"/>
      <c r="D117" s="380"/>
      <c r="E117" s="380"/>
      <c r="F117" s="380"/>
      <c r="G117" s="381"/>
      <c r="H117" s="382"/>
      <c r="I117" s="444"/>
      <c r="J117" s="511"/>
      <c r="K117" s="511"/>
      <c r="L117" s="54"/>
      <c r="M117" s="54"/>
      <c r="N117" s="383"/>
      <c r="O117" s="383"/>
      <c r="P117" s="383"/>
      <c r="Q117" s="385"/>
      <c r="R117" s="386"/>
      <c r="S117" s="387"/>
      <c r="T117" s="57"/>
      <c r="U117" s="57"/>
      <c r="AC117" s="512" t="s">
        <v>457</v>
      </c>
      <c r="AD117" s="512"/>
      <c r="AE117" s="512"/>
      <c r="AF117" s="512"/>
      <c r="AG117" s="388"/>
    </row>
    <row r="118" spans="1:800 1051:1824 2075:2848 3099:3872 4123:4896 5147:5920 6171:6944 7195:7968 8219:8992 9243:10016 10267:11040 11291:12064 12315:13088 13339:14112 14363:15136 15387:16160" s="396" customFormat="1" x14ac:dyDescent="0.25">
      <c r="A118" s="389"/>
      <c r="B118" s="390"/>
      <c r="C118" s="391"/>
      <c r="D118" s="391"/>
      <c r="E118" s="514" t="s">
        <v>398</v>
      </c>
      <c r="F118" s="514"/>
      <c r="G118" s="514"/>
      <c r="H118" s="514"/>
      <c r="I118" s="514"/>
      <c r="J118" s="514"/>
      <c r="K118" s="514"/>
      <c r="L118" s="514"/>
      <c r="M118" s="514"/>
      <c r="N118" s="514"/>
      <c r="O118" s="514"/>
      <c r="P118" s="392"/>
      <c r="Q118" s="393"/>
      <c r="R118" s="394"/>
      <c r="S118" s="395"/>
      <c r="T118" s="513" t="s">
        <v>399</v>
      </c>
      <c r="U118" s="513"/>
      <c r="V118" s="513"/>
      <c r="W118" s="513"/>
      <c r="Z118" s="104"/>
      <c r="AA118" s="104"/>
      <c r="AB118" s="104"/>
      <c r="AC118" s="513" t="s">
        <v>400</v>
      </c>
      <c r="AD118" s="513"/>
      <c r="AE118" s="513"/>
      <c r="AF118" s="513"/>
      <c r="AH118" s="397"/>
      <c r="AI118" s="392"/>
      <c r="AJ118" s="397"/>
    </row>
    <row r="119" spans="1:800 1051:1824 2075:2848 3099:3872 4123:4896 5147:5920 6171:6944 7195:7968 8219:8992 9243:10016 10267:11040 11291:12064 12315:13088 13339:14112 14363:15136 15387:16160" s="396" customFormat="1" x14ac:dyDescent="0.25">
      <c r="A119" s="389"/>
      <c r="B119" s="390"/>
      <c r="C119" s="391"/>
      <c r="D119" s="391"/>
      <c r="E119" s="391"/>
      <c r="F119" s="513" t="s">
        <v>401</v>
      </c>
      <c r="G119" s="513"/>
      <c r="H119" s="513"/>
      <c r="I119" s="513"/>
      <c r="J119" s="513"/>
      <c r="K119" s="513"/>
      <c r="L119" s="513"/>
      <c r="M119" s="513"/>
      <c r="N119" s="513"/>
      <c r="O119" s="392"/>
      <c r="P119" s="392"/>
      <c r="R119" s="394"/>
      <c r="S119" s="395"/>
      <c r="T119" s="513" t="s">
        <v>402</v>
      </c>
      <c r="U119" s="513"/>
      <c r="V119" s="513"/>
      <c r="W119" s="513"/>
      <c r="X119" s="398"/>
      <c r="Y119" s="104"/>
      <c r="Z119" s="104"/>
      <c r="AA119" s="104"/>
      <c r="AB119" s="104"/>
      <c r="AC119" s="513" t="s">
        <v>403</v>
      </c>
      <c r="AD119" s="513"/>
      <c r="AE119" s="513"/>
      <c r="AF119" s="513"/>
      <c r="AH119" s="397"/>
      <c r="AI119" s="392"/>
      <c r="AJ119" s="397"/>
    </row>
    <row r="120" spans="1:800 1051:1824 2075:2848 3099:3872 4123:4896 5147:5920 6171:6944 7195:7968 8219:8992 9243:10016 10267:11040 11291:12064 12315:13088 13339:14112 14363:15136 15387:16160" x14ac:dyDescent="0.25">
      <c r="A120" s="378"/>
      <c r="B120" s="379"/>
      <c r="C120" s="380"/>
      <c r="D120" s="380"/>
      <c r="E120" s="380"/>
      <c r="F120" s="513" t="s">
        <v>404</v>
      </c>
      <c r="G120" s="513"/>
      <c r="H120" s="513"/>
      <c r="I120" s="513"/>
      <c r="J120" s="513"/>
      <c r="K120" s="513"/>
      <c r="L120" s="513"/>
      <c r="M120" s="513"/>
      <c r="N120" s="513"/>
      <c r="O120" s="383"/>
      <c r="P120" s="383"/>
      <c r="Q120" s="385"/>
      <c r="R120" s="386"/>
      <c r="S120" s="387"/>
      <c r="T120" s="57"/>
      <c r="U120" s="57"/>
      <c r="V120" s="104"/>
      <c r="W120" s="104"/>
    </row>
    <row r="121" spans="1:800 1051:1824 2075:2848 3099:3872 4123:4896 5147:5920 6171:6944 7195:7968 8219:8992 9243:10016 10267:11040 11291:12064 12315:13088 13339:14112 14363:15136 15387:16160" x14ac:dyDescent="0.25">
      <c r="A121" s="378"/>
      <c r="B121" s="379"/>
      <c r="C121" s="380"/>
      <c r="D121" s="380"/>
      <c r="E121" s="380"/>
      <c r="F121" s="380"/>
      <c r="G121" s="381"/>
      <c r="H121" s="382"/>
      <c r="I121" s="383"/>
      <c r="J121" s="384"/>
      <c r="K121" s="54"/>
      <c r="L121" s="54"/>
      <c r="M121" s="54"/>
      <c r="N121" s="383"/>
      <c r="O121" s="383"/>
      <c r="P121" s="383"/>
      <c r="Q121" s="385"/>
      <c r="R121" s="386"/>
      <c r="S121" s="387"/>
      <c r="T121" s="57"/>
      <c r="U121" s="57"/>
      <c r="V121" s="104"/>
      <c r="W121" s="104"/>
    </row>
    <row r="122" spans="1:800 1051:1824 2075:2848 3099:3872 4123:4896 5147:5920 6171:6944 7195:7968 8219:8992 9243:10016 10267:11040 11291:12064 12315:13088 13339:14112 14363:15136 15387:16160" ht="53.25" customHeight="1" x14ac:dyDescent="0.25">
      <c r="A122" s="378"/>
      <c r="B122" s="379"/>
      <c r="C122" s="380"/>
      <c r="D122" s="380"/>
      <c r="E122" s="380"/>
      <c r="F122" s="380"/>
      <c r="G122" s="381"/>
      <c r="H122" s="382"/>
      <c r="I122" s="383"/>
      <c r="J122" s="384"/>
      <c r="K122" s="54"/>
      <c r="L122" s="54"/>
      <c r="M122" s="54"/>
      <c r="N122" s="383"/>
      <c r="O122" s="383"/>
      <c r="P122" s="383"/>
      <c r="Q122" s="385"/>
      <c r="R122" s="386"/>
      <c r="S122" s="387"/>
      <c r="T122" s="57"/>
      <c r="U122" s="57"/>
      <c r="V122" s="104"/>
      <c r="W122" s="104"/>
    </row>
    <row r="123" spans="1:800 1051:1824 2075:2848 3099:3872 4123:4896 5147:5920 6171:6944 7195:7968 8219:8992 9243:10016 10267:11040 11291:12064 12315:13088 13339:14112 14363:15136 15387:16160" s="382" customFormat="1" ht="34.5" customHeight="1" x14ac:dyDescent="0.25">
      <c r="A123" s="378"/>
      <c r="B123" s="379"/>
      <c r="C123" s="380"/>
      <c r="D123" s="380"/>
      <c r="E123" s="380"/>
      <c r="F123" s="515" t="s">
        <v>405</v>
      </c>
      <c r="G123" s="513"/>
      <c r="H123" s="513"/>
      <c r="I123" s="513"/>
      <c r="J123" s="513"/>
      <c r="K123" s="513"/>
      <c r="L123" s="513"/>
      <c r="M123" s="513"/>
      <c r="N123" s="513"/>
      <c r="O123" s="383"/>
      <c r="P123" s="383"/>
      <c r="Q123" s="385"/>
      <c r="R123" s="386"/>
      <c r="S123" s="387"/>
      <c r="T123" s="514" t="s">
        <v>406</v>
      </c>
      <c r="U123" s="514"/>
      <c r="V123" s="514"/>
      <c r="W123" s="514"/>
      <c r="X123" s="398"/>
      <c r="Y123" s="104"/>
      <c r="Z123" s="104"/>
      <c r="AA123" s="104"/>
      <c r="AB123" s="104"/>
      <c r="AC123" s="514" t="s">
        <v>407</v>
      </c>
      <c r="AD123" s="514"/>
      <c r="AE123" s="514"/>
      <c r="AF123" s="514"/>
      <c r="AG123" s="104"/>
      <c r="AH123" s="399"/>
      <c r="AI123" s="383"/>
      <c r="AJ123" s="399"/>
    </row>
    <row r="124" spans="1:800 1051:1824 2075:2848 3099:3872 4123:4896 5147:5920 6171:6944 7195:7968 8219:8992 9243:10016 10267:11040 11291:12064 12315:13088 13339:14112 14363:15136 15387:16160" x14ac:dyDescent="0.25">
      <c r="A124" s="378"/>
      <c r="B124" s="379"/>
      <c r="C124" s="380"/>
      <c r="D124" s="380"/>
      <c r="E124" s="380"/>
      <c r="F124" s="513" t="s">
        <v>408</v>
      </c>
      <c r="G124" s="513"/>
      <c r="H124" s="513"/>
      <c r="I124" s="513"/>
      <c r="J124" s="513"/>
      <c r="K124" s="513"/>
      <c r="L124" s="513"/>
      <c r="M124" s="513"/>
      <c r="N124" s="513"/>
      <c r="O124" s="383"/>
      <c r="P124" s="383"/>
      <c r="Q124" s="385"/>
      <c r="R124" s="386"/>
      <c r="S124" s="387"/>
      <c r="T124" s="57"/>
      <c r="U124" s="57"/>
      <c r="AD124" s="514"/>
      <c r="AE124" s="514"/>
      <c r="AF124" s="514"/>
      <c r="AG124" s="514"/>
    </row>
    <row r="125" spans="1:800 1051:1824 2075:2848 3099:3872 4123:4896 5147:5920 6171:6944 7195:7968 8219:8992 9243:10016 10267:11040 11291:12064 12315:13088 13339:14112 14363:15136 15387:16160" x14ac:dyDescent="0.25">
      <c r="A125" s="378"/>
      <c r="B125" s="379"/>
      <c r="C125" s="380"/>
      <c r="D125" s="380"/>
      <c r="E125" s="380"/>
      <c r="F125" s="380"/>
      <c r="G125" s="381"/>
      <c r="H125" s="382"/>
      <c r="I125" s="383"/>
      <c r="J125" s="384"/>
      <c r="K125" s="54"/>
      <c r="L125" s="54"/>
      <c r="M125" s="54"/>
      <c r="N125" s="383"/>
      <c r="O125" s="383"/>
      <c r="P125" s="383"/>
      <c r="Q125" s="385"/>
      <c r="R125" s="386"/>
      <c r="S125" s="387"/>
      <c r="T125" s="57"/>
      <c r="U125" s="57"/>
    </row>
    <row r="126" spans="1:800 1051:1824 2075:2848 3099:3872 4123:4896 5147:5920 6171:6944 7195:7968 8219:8992 9243:10016 10267:11040 11291:12064 12315:13088 13339:14112 14363:15136 15387:16160" x14ac:dyDescent="0.25">
      <c r="A126" s="378"/>
      <c r="B126" s="379"/>
      <c r="C126" s="380"/>
      <c r="D126" s="380"/>
      <c r="E126" s="380"/>
      <c r="F126" s="380"/>
      <c r="G126" s="381"/>
      <c r="H126" s="382"/>
      <c r="I126" s="383"/>
      <c r="J126" s="384"/>
      <c r="K126" s="54"/>
      <c r="L126" s="54"/>
      <c r="M126" s="54"/>
      <c r="N126" s="383"/>
      <c r="O126" s="383"/>
      <c r="P126" s="383"/>
      <c r="Q126" s="385"/>
      <c r="R126" s="386"/>
      <c r="S126" s="383"/>
      <c r="T126" s="57"/>
      <c r="U126" s="57"/>
    </row>
    <row r="127" spans="1:800 1051:1824 2075:2848 3099:3872 4123:4896 5147:5920 6171:6944 7195:7968 8219:8992 9243:10016 10267:11040 11291:12064 12315:13088 13339:14112 14363:15136 15387:16160" x14ac:dyDescent="0.25">
      <c r="A127" s="378"/>
      <c r="B127" s="379"/>
      <c r="C127" s="380"/>
      <c r="D127" s="380"/>
      <c r="E127" s="380"/>
      <c r="F127" s="380"/>
      <c r="G127" s="381"/>
      <c r="H127" s="382"/>
      <c r="I127" s="383"/>
      <c r="J127" s="384"/>
      <c r="K127" s="54"/>
      <c r="L127" s="54"/>
      <c r="M127" s="54"/>
      <c r="N127" s="383"/>
      <c r="O127" s="383"/>
      <c r="P127" s="383"/>
      <c r="Q127" s="385"/>
      <c r="R127" s="386"/>
      <c r="S127" s="383"/>
      <c r="T127" s="57"/>
      <c r="U127" s="57"/>
    </row>
    <row r="128" spans="1:800 1051:1824 2075:2848 3099:3872 4123:4896 5147:5920 6171:6944 7195:7968 8219:8992 9243:10016 10267:11040 11291:12064 12315:13088 13339:14112 14363:15136 15387:16160" x14ac:dyDescent="0.25">
      <c r="A128" s="378"/>
      <c r="B128" s="379"/>
      <c r="C128" s="380"/>
      <c r="D128" s="380"/>
      <c r="E128" s="380"/>
      <c r="F128" s="380"/>
      <c r="G128" s="381"/>
      <c r="H128" s="382"/>
      <c r="I128" s="383"/>
      <c r="J128" s="384"/>
      <c r="K128" s="54"/>
      <c r="L128" s="54"/>
      <c r="M128" s="54"/>
      <c r="N128" s="383"/>
      <c r="O128" s="383"/>
      <c r="P128" s="383"/>
      <c r="Q128" s="385"/>
      <c r="R128" s="386"/>
      <c r="S128" s="383"/>
      <c r="T128" s="57"/>
      <c r="U128" s="57"/>
    </row>
    <row r="129" spans="1:21" x14ac:dyDescent="0.25">
      <c r="A129" s="378"/>
      <c r="B129" s="379"/>
      <c r="C129" s="380"/>
      <c r="D129" s="380"/>
      <c r="E129" s="380"/>
      <c r="F129" s="380"/>
      <c r="G129" s="381"/>
      <c r="H129" s="382"/>
      <c r="I129" s="383"/>
      <c r="J129" s="384"/>
      <c r="K129" s="54"/>
      <c r="L129" s="54"/>
      <c r="M129" s="54"/>
      <c r="N129" s="383"/>
      <c r="O129" s="383"/>
      <c r="P129" s="383"/>
      <c r="Q129" s="385"/>
      <c r="R129" s="386"/>
      <c r="S129" s="383"/>
      <c r="T129" s="57"/>
      <c r="U129" s="57"/>
    </row>
    <row r="130" spans="1:21" x14ac:dyDescent="0.25">
      <c r="A130" s="378"/>
      <c r="B130" s="379"/>
      <c r="C130" s="380"/>
      <c r="D130" s="380"/>
      <c r="E130" s="380"/>
      <c r="F130" s="380"/>
      <c r="G130" s="381"/>
      <c r="H130" s="382"/>
      <c r="I130" s="383"/>
      <c r="J130" s="384"/>
      <c r="K130" s="54"/>
      <c r="L130" s="54"/>
      <c r="M130" s="54"/>
      <c r="N130" s="383"/>
      <c r="O130" s="383"/>
      <c r="P130" s="383"/>
      <c r="Q130" s="385"/>
      <c r="R130" s="386"/>
      <c r="S130" s="383"/>
      <c r="T130" s="57"/>
      <c r="U130" s="57"/>
    </row>
  </sheetData>
  <autoFilter ref="A7:AH114" xr:uid="{00000000-0009-0000-0000-000006000000}"/>
  <mergeCells count="97">
    <mergeCell ref="A1:AG1"/>
    <mergeCell ref="A2:AG2"/>
    <mergeCell ref="A3:AG3"/>
    <mergeCell ref="A4:A6"/>
    <mergeCell ref="B4:B6"/>
    <mergeCell ref="C4:F4"/>
    <mergeCell ref="G4:J4"/>
    <mergeCell ref="K4:R4"/>
    <mergeCell ref="S4:S6"/>
    <mergeCell ref="T4:U4"/>
    <mergeCell ref="AG4:AG6"/>
    <mergeCell ref="J5:J6"/>
    <mergeCell ref="K5:M5"/>
    <mergeCell ref="N5:P5"/>
    <mergeCell ref="Q5:Q6"/>
    <mergeCell ref="AH4:AH6"/>
    <mergeCell ref="AI4:AI6"/>
    <mergeCell ref="C5:C6"/>
    <mergeCell ref="D5:D6"/>
    <mergeCell ref="E5:E6"/>
    <mergeCell ref="F5:F6"/>
    <mergeCell ref="G5:G6"/>
    <mergeCell ref="H5:H6"/>
    <mergeCell ref="I5:I6"/>
    <mergeCell ref="V4:AA4"/>
    <mergeCell ref="AB4:AB6"/>
    <mergeCell ref="AC4:AC6"/>
    <mergeCell ref="AD4:AD6"/>
    <mergeCell ref="AE4:AE6"/>
    <mergeCell ref="AF4:AF6"/>
    <mergeCell ref="Z5:Z6"/>
    <mergeCell ref="AF19:AF22"/>
    <mergeCell ref="AF23:AF25"/>
    <mergeCell ref="AF26:AF27"/>
    <mergeCell ref="AF28:AF30"/>
    <mergeCell ref="R5:R6"/>
    <mergeCell ref="T5:T6"/>
    <mergeCell ref="U5:U6"/>
    <mergeCell ref="V5:V6"/>
    <mergeCell ref="W5:W6"/>
    <mergeCell ref="AA5:AA6"/>
    <mergeCell ref="C49:C50"/>
    <mergeCell ref="D49:D50"/>
    <mergeCell ref="E49:E50"/>
    <mergeCell ref="AF49:AF53"/>
    <mergeCell ref="X5:X6"/>
    <mergeCell ref="Y5:Y6"/>
    <mergeCell ref="AF38:AF39"/>
    <mergeCell ref="C8:C9"/>
    <mergeCell ref="D8:D9"/>
    <mergeCell ref="E8:E9"/>
    <mergeCell ref="F8:F9"/>
    <mergeCell ref="AF8:AF9"/>
    <mergeCell ref="AF10:AF18"/>
    <mergeCell ref="C14:C18"/>
    <mergeCell ref="D14:D18"/>
    <mergeCell ref="E14:E18"/>
    <mergeCell ref="AF82:AF84"/>
    <mergeCell ref="AF85:AF87"/>
    <mergeCell ref="AF31:AF37"/>
    <mergeCell ref="AF40:AF42"/>
    <mergeCell ref="AF44:AF45"/>
    <mergeCell ref="AF46:AF48"/>
    <mergeCell ref="AF56:AF59"/>
    <mergeCell ref="AF60:AF63"/>
    <mergeCell ref="AF64:AF68"/>
    <mergeCell ref="AF69:AF74"/>
    <mergeCell ref="AF76:AF81"/>
    <mergeCell ref="AG86:AG87"/>
    <mergeCell ref="AF88:AF90"/>
    <mergeCell ref="AF91:AF94"/>
    <mergeCell ref="AF95:AF97"/>
    <mergeCell ref="AF101:AF102"/>
    <mergeCell ref="AF98:AF100"/>
    <mergeCell ref="AF105:AF107"/>
    <mergeCell ref="AF108:AF114"/>
    <mergeCell ref="C110:C111"/>
    <mergeCell ref="D110:D111"/>
    <mergeCell ref="E110:E111"/>
    <mergeCell ref="C112:C113"/>
    <mergeCell ref="D112:D113"/>
    <mergeCell ref="E112:E113"/>
    <mergeCell ref="AH115:AI115"/>
    <mergeCell ref="F124:N124"/>
    <mergeCell ref="AD124:AG124"/>
    <mergeCell ref="J117:K117"/>
    <mergeCell ref="F119:N119"/>
    <mergeCell ref="T119:W119"/>
    <mergeCell ref="AC119:AF119"/>
    <mergeCell ref="F120:N120"/>
    <mergeCell ref="F123:N123"/>
    <mergeCell ref="T123:W123"/>
    <mergeCell ref="AC123:AF123"/>
    <mergeCell ref="AC117:AF117"/>
    <mergeCell ref="E118:O118"/>
    <mergeCell ref="T118:W118"/>
    <mergeCell ref="AC118:AF118"/>
  </mergeCells>
  <pageMargins left="0.05" right="0.05" top="0.4" bottom="0.3" header="0.3" footer="0.3"/>
  <pageSetup paperSize="8" scale="82" orientation="landscape" verticalDpi="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WWN119"/>
  <sheetViews>
    <sheetView topLeftCell="A73" workbookViewId="0">
      <selection activeCell="O78" sqref="O78"/>
    </sheetView>
  </sheetViews>
  <sheetFormatPr defaultColWidth="7.25" defaultRowHeight="15.75" x14ac:dyDescent="0.25"/>
  <cols>
    <col min="1" max="1" width="2.875" style="217" customWidth="1"/>
    <col min="2" max="2" width="14.5" style="218" customWidth="1"/>
    <col min="3" max="3" width="3.25" style="219" customWidth="1"/>
    <col min="4" max="4" width="4" style="219" customWidth="1"/>
    <col min="5" max="5" width="6.25" style="219" customWidth="1"/>
    <col min="6" max="6" width="8" style="219" customWidth="1"/>
    <col min="7" max="7" width="3.5" style="220" customWidth="1"/>
    <col min="8" max="8" width="3.875" style="221" customWidth="1"/>
    <col min="9" max="9" width="7.125" style="186" customWidth="1"/>
    <col min="10" max="10" width="4.125" style="222" customWidth="1"/>
    <col min="11" max="11" width="6.5" style="223" customWidth="1"/>
    <col min="12" max="12" width="6.625" style="223" customWidth="1"/>
    <col min="13" max="13" width="5.875" style="223" customWidth="1"/>
    <col min="14" max="15" width="6.5" style="186" customWidth="1"/>
    <col min="16" max="16" width="5.25" style="186" customWidth="1"/>
    <col min="17" max="17" width="6.5" style="224" customWidth="1"/>
    <col min="18" max="18" width="4.5" style="225" customWidth="1"/>
    <col min="19" max="19" width="5.625" style="186" customWidth="1"/>
    <col min="20" max="20" width="5.875" style="226" customWidth="1"/>
    <col min="21" max="21" width="9.25" style="226" customWidth="1"/>
    <col min="22" max="22" width="15.125" style="245" customWidth="1"/>
    <col min="23" max="23" width="4.25" style="245" customWidth="1"/>
    <col min="24" max="24" width="6.125" style="108" customWidth="1"/>
    <col min="25" max="25" width="7.5" style="57" customWidth="1"/>
    <col min="26" max="26" width="4.375" style="57" customWidth="1"/>
    <col min="27" max="27" width="8.875" style="57" customWidth="1"/>
    <col min="28" max="28" width="10" style="57" customWidth="1"/>
    <col min="29" max="29" width="9" style="57" customWidth="1"/>
    <col min="30" max="30" width="9.375" style="57" customWidth="1"/>
    <col min="31" max="31" width="9.875" style="104" customWidth="1"/>
    <col min="32" max="32" width="10.75" style="104" customWidth="1"/>
    <col min="33" max="33" width="13.75" style="105" customWidth="1"/>
    <col min="34" max="34" width="13.875" style="106" customWidth="1"/>
    <col min="35" max="35" width="6" style="54" customWidth="1"/>
    <col min="36" max="36" width="16" style="106" customWidth="1"/>
    <col min="37" max="249" width="9" style="79" customWidth="1"/>
    <col min="250" max="250" width="2.625" style="79" customWidth="1"/>
    <col min="251" max="251" width="9.125" style="79" customWidth="1"/>
    <col min="252" max="252" width="2.625" style="79" customWidth="1"/>
    <col min="253" max="253" width="12" style="79" bestFit="1" customWidth="1"/>
    <col min="254" max="254" width="6.625" style="79" customWidth="1"/>
    <col min="255" max="255" width="6.375" style="79" customWidth="1"/>
    <col min="256" max="259" width="7.25" style="79"/>
    <col min="260" max="260" width="2.875" style="79" customWidth="1"/>
    <col min="261" max="261" width="10.125" style="79" customWidth="1"/>
    <col min="262" max="262" width="6" style="79" customWidth="1"/>
    <col min="263" max="263" width="5.875" style="79" customWidth="1"/>
    <col min="264" max="264" width="3.5" style="79" customWidth="1"/>
    <col min="265" max="265" width="3.875" style="79" customWidth="1"/>
    <col min="266" max="266" width="6.125" style="79" customWidth="1"/>
    <col min="267" max="267" width="4.125" style="79" customWidth="1"/>
    <col min="268" max="269" width="6.25" style="79" customWidth="1"/>
    <col min="270" max="270" width="5.25" style="79" customWidth="1"/>
    <col min="271" max="271" width="6.5" style="79" customWidth="1"/>
    <col min="272" max="272" width="5.625" style="79" customWidth="1"/>
    <col min="273" max="273" width="5.125" style="79" customWidth="1"/>
    <col min="274" max="274" width="9" style="79" customWidth="1"/>
    <col min="275" max="275" width="12.75" style="79" customWidth="1"/>
    <col min="276" max="276" width="3.875" style="79" customWidth="1"/>
    <col min="277" max="277" width="5.875" style="79" customWidth="1"/>
    <col min="278" max="278" width="5.75" style="79" customWidth="1"/>
    <col min="279" max="279" width="4.375" style="79" customWidth="1"/>
    <col min="280" max="280" width="8.875" style="79" customWidth="1"/>
    <col min="281" max="281" width="8.125" style="79" customWidth="1"/>
    <col min="282" max="282" width="9.125" style="79" customWidth="1"/>
    <col min="283" max="283" width="0" style="79" hidden="1" customWidth="1"/>
    <col min="284" max="284" width="5.75" style="79" customWidth="1"/>
    <col min="285" max="285" width="3.625" style="79" customWidth="1"/>
    <col min="286" max="286" width="7.625" style="79" customWidth="1"/>
    <col min="287" max="287" width="9.375" style="79" customWidth="1"/>
    <col min="288" max="288" width="0" style="79" hidden="1" customWidth="1"/>
    <col min="289" max="289" width="21.375" style="79" customWidth="1"/>
    <col min="290" max="290" width="6.25" style="79" customWidth="1"/>
    <col min="291" max="291" width="6" style="79" customWidth="1"/>
    <col min="292" max="292" width="16" style="79" customWidth="1"/>
    <col min="293" max="505" width="9" style="79" customWidth="1"/>
    <col min="506" max="506" width="2.625" style="79" customWidth="1"/>
    <col min="507" max="507" width="9.125" style="79" customWidth="1"/>
    <col min="508" max="508" width="2.625" style="79" customWidth="1"/>
    <col min="509" max="509" width="12" style="79" bestFit="1" customWidth="1"/>
    <col min="510" max="510" width="6.625" style="79" customWidth="1"/>
    <col min="511" max="511" width="6.375" style="79" customWidth="1"/>
    <col min="512" max="515" width="7.25" style="79"/>
    <col min="516" max="516" width="2.875" style="79" customWidth="1"/>
    <col min="517" max="517" width="10.125" style="79" customWidth="1"/>
    <col min="518" max="518" width="6" style="79" customWidth="1"/>
    <col min="519" max="519" width="5.875" style="79" customWidth="1"/>
    <col min="520" max="520" width="3.5" style="79" customWidth="1"/>
    <col min="521" max="521" width="3.875" style="79" customWidth="1"/>
    <col min="522" max="522" width="6.125" style="79" customWidth="1"/>
    <col min="523" max="523" width="4.125" style="79" customWidth="1"/>
    <col min="524" max="525" width="6.25" style="79" customWidth="1"/>
    <col min="526" max="526" width="5.25" style="79" customWidth="1"/>
    <col min="527" max="527" width="6.5" style="79" customWidth="1"/>
    <col min="528" max="528" width="5.625" style="79" customWidth="1"/>
    <col min="529" max="529" width="5.125" style="79" customWidth="1"/>
    <col min="530" max="530" width="9" style="79" customWidth="1"/>
    <col min="531" max="531" width="12.75" style="79" customWidth="1"/>
    <col min="532" max="532" width="3.875" style="79" customWidth="1"/>
    <col min="533" max="533" width="5.875" style="79" customWidth="1"/>
    <col min="534" max="534" width="5.75" style="79" customWidth="1"/>
    <col min="535" max="535" width="4.375" style="79" customWidth="1"/>
    <col min="536" max="536" width="8.875" style="79" customWidth="1"/>
    <col min="537" max="537" width="8.125" style="79" customWidth="1"/>
    <col min="538" max="538" width="9.125" style="79" customWidth="1"/>
    <col min="539" max="539" width="0" style="79" hidden="1" customWidth="1"/>
    <col min="540" max="540" width="5.75" style="79" customWidth="1"/>
    <col min="541" max="541" width="3.625" style="79" customWidth="1"/>
    <col min="542" max="542" width="7.625" style="79" customWidth="1"/>
    <col min="543" max="543" width="9.375" style="79" customWidth="1"/>
    <col min="544" max="544" width="0" style="79" hidden="1" customWidth="1"/>
    <col min="545" max="545" width="21.375" style="79" customWidth="1"/>
    <col min="546" max="546" width="6.25" style="79" customWidth="1"/>
    <col min="547" max="547" width="6" style="79" customWidth="1"/>
    <col min="548" max="548" width="16" style="79" customWidth="1"/>
    <col min="549" max="761" width="9" style="79" customWidth="1"/>
    <col min="762" max="762" width="2.625" style="79" customWidth="1"/>
    <col min="763" max="763" width="9.125" style="79" customWidth="1"/>
    <col min="764" max="764" width="2.625" style="79" customWidth="1"/>
    <col min="765" max="765" width="12" style="79" bestFit="1" customWidth="1"/>
    <col min="766" max="766" width="6.625" style="79" customWidth="1"/>
    <col min="767" max="767" width="6.375" style="79" customWidth="1"/>
    <col min="768" max="771" width="7.25" style="79"/>
    <col min="772" max="772" width="2.875" style="79" customWidth="1"/>
    <col min="773" max="773" width="10.125" style="79" customWidth="1"/>
    <col min="774" max="774" width="6" style="79" customWidth="1"/>
    <col min="775" max="775" width="5.875" style="79" customWidth="1"/>
    <col min="776" max="776" width="3.5" style="79" customWidth="1"/>
    <col min="777" max="777" width="3.875" style="79" customWidth="1"/>
    <col min="778" max="778" width="6.125" style="79" customWidth="1"/>
    <col min="779" max="779" width="4.125" style="79" customWidth="1"/>
    <col min="780" max="781" width="6.25" style="79" customWidth="1"/>
    <col min="782" max="782" width="5.25" style="79" customWidth="1"/>
    <col min="783" max="783" width="6.5" style="79" customWidth="1"/>
    <col min="784" max="784" width="5.625" style="79" customWidth="1"/>
    <col min="785" max="785" width="5.125" style="79" customWidth="1"/>
    <col min="786" max="786" width="9" style="79" customWidth="1"/>
    <col min="787" max="787" width="12.75" style="79" customWidth="1"/>
    <col min="788" max="788" width="3.875" style="79" customWidth="1"/>
    <col min="789" max="789" width="5.875" style="79" customWidth="1"/>
    <col min="790" max="790" width="5.75" style="79" customWidth="1"/>
    <col min="791" max="791" width="4.375" style="79" customWidth="1"/>
    <col min="792" max="792" width="8.875" style="79" customWidth="1"/>
    <col min="793" max="793" width="8.125" style="79" customWidth="1"/>
    <col min="794" max="794" width="9.125" style="79" customWidth="1"/>
    <col min="795" max="795" width="0" style="79" hidden="1" customWidth="1"/>
    <col min="796" max="796" width="5.75" style="79" customWidth="1"/>
    <col min="797" max="797" width="3.625" style="79" customWidth="1"/>
    <col min="798" max="798" width="7.625" style="79" customWidth="1"/>
    <col min="799" max="799" width="9.375" style="79" customWidth="1"/>
    <col min="800" max="800" width="0" style="79" hidden="1" customWidth="1"/>
    <col min="801" max="801" width="21.375" style="79" customWidth="1"/>
    <col min="802" max="802" width="6.25" style="79" customWidth="1"/>
    <col min="803" max="803" width="6" style="79" customWidth="1"/>
    <col min="804" max="804" width="16" style="79" customWidth="1"/>
    <col min="805" max="1017" width="9" style="79" customWidth="1"/>
    <col min="1018" max="1018" width="2.625" style="79" customWidth="1"/>
    <col min="1019" max="1019" width="9.125" style="79" customWidth="1"/>
    <col min="1020" max="1020" width="2.625" style="79" customWidth="1"/>
    <col min="1021" max="1021" width="12" style="79" bestFit="1" customWidth="1"/>
    <col min="1022" max="1022" width="6.625" style="79" customWidth="1"/>
    <col min="1023" max="1023" width="6.375" style="79" customWidth="1"/>
    <col min="1024" max="1027" width="7.25" style="79"/>
    <col min="1028" max="1028" width="2.875" style="79" customWidth="1"/>
    <col min="1029" max="1029" width="10.125" style="79" customWidth="1"/>
    <col min="1030" max="1030" width="6" style="79" customWidth="1"/>
    <col min="1031" max="1031" width="5.875" style="79" customWidth="1"/>
    <col min="1032" max="1032" width="3.5" style="79" customWidth="1"/>
    <col min="1033" max="1033" width="3.875" style="79" customWidth="1"/>
    <col min="1034" max="1034" width="6.125" style="79" customWidth="1"/>
    <col min="1035" max="1035" width="4.125" style="79" customWidth="1"/>
    <col min="1036" max="1037" width="6.25" style="79" customWidth="1"/>
    <col min="1038" max="1038" width="5.25" style="79" customWidth="1"/>
    <col min="1039" max="1039" width="6.5" style="79" customWidth="1"/>
    <col min="1040" max="1040" width="5.625" style="79" customWidth="1"/>
    <col min="1041" max="1041" width="5.125" style="79" customWidth="1"/>
    <col min="1042" max="1042" width="9" style="79" customWidth="1"/>
    <col min="1043" max="1043" width="12.75" style="79" customWidth="1"/>
    <col min="1044" max="1044" width="3.875" style="79" customWidth="1"/>
    <col min="1045" max="1045" width="5.875" style="79" customWidth="1"/>
    <col min="1046" max="1046" width="5.75" style="79" customWidth="1"/>
    <col min="1047" max="1047" width="4.375" style="79" customWidth="1"/>
    <col min="1048" max="1048" width="8.875" style="79" customWidth="1"/>
    <col min="1049" max="1049" width="8.125" style="79" customWidth="1"/>
    <col min="1050" max="1050" width="9.125" style="79" customWidth="1"/>
    <col min="1051" max="1051" width="0" style="79" hidden="1" customWidth="1"/>
    <col min="1052" max="1052" width="5.75" style="79" customWidth="1"/>
    <col min="1053" max="1053" width="3.625" style="79" customWidth="1"/>
    <col min="1054" max="1054" width="7.625" style="79" customWidth="1"/>
    <col min="1055" max="1055" width="9.375" style="79" customWidth="1"/>
    <col min="1056" max="1056" width="0" style="79" hidden="1" customWidth="1"/>
    <col min="1057" max="1057" width="21.375" style="79" customWidth="1"/>
    <col min="1058" max="1058" width="6.25" style="79" customWidth="1"/>
    <col min="1059" max="1059" width="6" style="79" customWidth="1"/>
    <col min="1060" max="1060" width="16" style="79" customWidth="1"/>
    <col min="1061" max="1273" width="9" style="79" customWidth="1"/>
    <col min="1274" max="1274" width="2.625" style="79" customWidth="1"/>
    <col min="1275" max="1275" width="9.125" style="79" customWidth="1"/>
    <col min="1276" max="1276" width="2.625" style="79" customWidth="1"/>
    <col min="1277" max="1277" width="12" style="79" bestFit="1" customWidth="1"/>
    <col min="1278" max="1278" width="6.625" style="79" customWidth="1"/>
    <col min="1279" max="1279" width="6.375" style="79" customWidth="1"/>
    <col min="1280" max="1283" width="7.25" style="79"/>
    <col min="1284" max="1284" width="2.875" style="79" customWidth="1"/>
    <col min="1285" max="1285" width="10.125" style="79" customWidth="1"/>
    <col min="1286" max="1286" width="6" style="79" customWidth="1"/>
    <col min="1287" max="1287" width="5.875" style="79" customWidth="1"/>
    <col min="1288" max="1288" width="3.5" style="79" customWidth="1"/>
    <col min="1289" max="1289" width="3.875" style="79" customWidth="1"/>
    <col min="1290" max="1290" width="6.125" style="79" customWidth="1"/>
    <col min="1291" max="1291" width="4.125" style="79" customWidth="1"/>
    <col min="1292" max="1293" width="6.25" style="79" customWidth="1"/>
    <col min="1294" max="1294" width="5.25" style="79" customWidth="1"/>
    <col min="1295" max="1295" width="6.5" style="79" customWidth="1"/>
    <col min="1296" max="1296" width="5.625" style="79" customWidth="1"/>
    <col min="1297" max="1297" width="5.125" style="79" customWidth="1"/>
    <col min="1298" max="1298" width="9" style="79" customWidth="1"/>
    <col min="1299" max="1299" width="12.75" style="79" customWidth="1"/>
    <col min="1300" max="1300" width="3.875" style="79" customWidth="1"/>
    <col min="1301" max="1301" width="5.875" style="79" customWidth="1"/>
    <col min="1302" max="1302" width="5.75" style="79" customWidth="1"/>
    <col min="1303" max="1303" width="4.375" style="79" customWidth="1"/>
    <col min="1304" max="1304" width="8.875" style="79" customWidth="1"/>
    <col min="1305" max="1305" width="8.125" style="79" customWidth="1"/>
    <col min="1306" max="1306" width="9.125" style="79" customWidth="1"/>
    <col min="1307" max="1307" width="0" style="79" hidden="1" customWidth="1"/>
    <col min="1308" max="1308" width="5.75" style="79" customWidth="1"/>
    <col min="1309" max="1309" width="3.625" style="79" customWidth="1"/>
    <col min="1310" max="1310" width="7.625" style="79" customWidth="1"/>
    <col min="1311" max="1311" width="9.375" style="79" customWidth="1"/>
    <col min="1312" max="1312" width="0" style="79" hidden="1" customWidth="1"/>
    <col min="1313" max="1313" width="21.375" style="79" customWidth="1"/>
    <col min="1314" max="1314" width="6.25" style="79" customWidth="1"/>
    <col min="1315" max="1315" width="6" style="79" customWidth="1"/>
    <col min="1316" max="1316" width="16" style="79" customWidth="1"/>
    <col min="1317" max="1529" width="9" style="79" customWidth="1"/>
    <col min="1530" max="1530" width="2.625" style="79" customWidth="1"/>
    <col min="1531" max="1531" width="9.125" style="79" customWidth="1"/>
    <col min="1532" max="1532" width="2.625" style="79" customWidth="1"/>
    <col min="1533" max="1533" width="12" style="79" bestFit="1" customWidth="1"/>
    <col min="1534" max="1534" width="6.625" style="79" customWidth="1"/>
    <col min="1535" max="1535" width="6.375" style="79" customWidth="1"/>
    <col min="1536" max="1539" width="7.25" style="79"/>
    <col min="1540" max="1540" width="2.875" style="79" customWidth="1"/>
    <col min="1541" max="1541" width="10.125" style="79" customWidth="1"/>
    <col min="1542" max="1542" width="6" style="79" customWidth="1"/>
    <col min="1543" max="1543" width="5.875" style="79" customWidth="1"/>
    <col min="1544" max="1544" width="3.5" style="79" customWidth="1"/>
    <col min="1545" max="1545" width="3.875" style="79" customWidth="1"/>
    <col min="1546" max="1546" width="6.125" style="79" customWidth="1"/>
    <col min="1547" max="1547" width="4.125" style="79" customWidth="1"/>
    <col min="1548" max="1549" width="6.25" style="79" customWidth="1"/>
    <col min="1550" max="1550" width="5.25" style="79" customWidth="1"/>
    <col min="1551" max="1551" width="6.5" style="79" customWidth="1"/>
    <col min="1552" max="1552" width="5.625" style="79" customWidth="1"/>
    <col min="1553" max="1553" width="5.125" style="79" customWidth="1"/>
    <col min="1554" max="1554" width="9" style="79" customWidth="1"/>
    <col min="1555" max="1555" width="12.75" style="79" customWidth="1"/>
    <col min="1556" max="1556" width="3.875" style="79" customWidth="1"/>
    <col min="1557" max="1557" width="5.875" style="79" customWidth="1"/>
    <col min="1558" max="1558" width="5.75" style="79" customWidth="1"/>
    <col min="1559" max="1559" width="4.375" style="79" customWidth="1"/>
    <col min="1560" max="1560" width="8.875" style="79" customWidth="1"/>
    <col min="1561" max="1561" width="8.125" style="79" customWidth="1"/>
    <col min="1562" max="1562" width="9.125" style="79" customWidth="1"/>
    <col min="1563" max="1563" width="0" style="79" hidden="1" customWidth="1"/>
    <col min="1564" max="1564" width="5.75" style="79" customWidth="1"/>
    <col min="1565" max="1565" width="3.625" style="79" customWidth="1"/>
    <col min="1566" max="1566" width="7.625" style="79" customWidth="1"/>
    <col min="1567" max="1567" width="9.375" style="79" customWidth="1"/>
    <col min="1568" max="1568" width="0" style="79" hidden="1" customWidth="1"/>
    <col min="1569" max="1569" width="21.375" style="79" customWidth="1"/>
    <col min="1570" max="1570" width="6.25" style="79" customWidth="1"/>
    <col min="1571" max="1571" width="6" style="79" customWidth="1"/>
    <col min="1572" max="1572" width="16" style="79" customWidth="1"/>
    <col min="1573" max="1785" width="9" style="79" customWidth="1"/>
    <col min="1786" max="1786" width="2.625" style="79" customWidth="1"/>
    <col min="1787" max="1787" width="9.125" style="79" customWidth="1"/>
    <col min="1788" max="1788" width="2.625" style="79" customWidth="1"/>
    <col min="1789" max="1789" width="12" style="79" bestFit="1" customWidth="1"/>
    <col min="1790" max="1790" width="6.625" style="79" customWidth="1"/>
    <col min="1791" max="1791" width="6.375" style="79" customWidth="1"/>
    <col min="1792" max="1795" width="7.25" style="79"/>
    <col min="1796" max="1796" width="2.875" style="79" customWidth="1"/>
    <col min="1797" max="1797" width="10.125" style="79" customWidth="1"/>
    <col min="1798" max="1798" width="6" style="79" customWidth="1"/>
    <col min="1799" max="1799" width="5.875" style="79" customWidth="1"/>
    <col min="1800" max="1800" width="3.5" style="79" customWidth="1"/>
    <col min="1801" max="1801" width="3.875" style="79" customWidth="1"/>
    <col min="1802" max="1802" width="6.125" style="79" customWidth="1"/>
    <col min="1803" max="1803" width="4.125" style="79" customWidth="1"/>
    <col min="1804" max="1805" width="6.25" style="79" customWidth="1"/>
    <col min="1806" max="1806" width="5.25" style="79" customWidth="1"/>
    <col min="1807" max="1807" width="6.5" style="79" customWidth="1"/>
    <col min="1808" max="1808" width="5.625" style="79" customWidth="1"/>
    <col min="1809" max="1809" width="5.125" style="79" customWidth="1"/>
    <col min="1810" max="1810" width="9" style="79" customWidth="1"/>
    <col min="1811" max="1811" width="12.75" style="79" customWidth="1"/>
    <col min="1812" max="1812" width="3.875" style="79" customWidth="1"/>
    <col min="1813" max="1813" width="5.875" style="79" customWidth="1"/>
    <col min="1814" max="1814" width="5.75" style="79" customWidth="1"/>
    <col min="1815" max="1815" width="4.375" style="79" customWidth="1"/>
    <col min="1816" max="1816" width="8.875" style="79" customWidth="1"/>
    <col min="1817" max="1817" width="8.125" style="79" customWidth="1"/>
    <col min="1818" max="1818" width="9.125" style="79" customWidth="1"/>
    <col min="1819" max="1819" width="0" style="79" hidden="1" customWidth="1"/>
    <col min="1820" max="1820" width="5.75" style="79" customWidth="1"/>
    <col min="1821" max="1821" width="3.625" style="79" customWidth="1"/>
    <col min="1822" max="1822" width="7.625" style="79" customWidth="1"/>
    <col min="1823" max="1823" width="9.375" style="79" customWidth="1"/>
    <col min="1824" max="1824" width="0" style="79" hidden="1" customWidth="1"/>
    <col min="1825" max="1825" width="21.375" style="79" customWidth="1"/>
    <col min="1826" max="1826" width="6.25" style="79" customWidth="1"/>
    <col min="1827" max="1827" width="6" style="79" customWidth="1"/>
    <col min="1828" max="1828" width="16" style="79" customWidth="1"/>
    <col min="1829" max="2041" width="9" style="79" customWidth="1"/>
    <col min="2042" max="2042" width="2.625" style="79" customWidth="1"/>
    <col min="2043" max="2043" width="9.125" style="79" customWidth="1"/>
    <col min="2044" max="2044" width="2.625" style="79" customWidth="1"/>
    <col min="2045" max="2045" width="12" style="79" bestFit="1" customWidth="1"/>
    <col min="2046" max="2046" width="6.625" style="79" customWidth="1"/>
    <col min="2047" max="2047" width="6.375" style="79" customWidth="1"/>
    <col min="2048" max="2051" width="7.25" style="79"/>
    <col min="2052" max="2052" width="2.875" style="79" customWidth="1"/>
    <col min="2053" max="2053" width="10.125" style="79" customWidth="1"/>
    <col min="2054" max="2054" width="6" style="79" customWidth="1"/>
    <col min="2055" max="2055" width="5.875" style="79" customWidth="1"/>
    <col min="2056" max="2056" width="3.5" style="79" customWidth="1"/>
    <col min="2057" max="2057" width="3.875" style="79" customWidth="1"/>
    <col min="2058" max="2058" width="6.125" style="79" customWidth="1"/>
    <col min="2059" max="2059" width="4.125" style="79" customWidth="1"/>
    <col min="2060" max="2061" width="6.25" style="79" customWidth="1"/>
    <col min="2062" max="2062" width="5.25" style="79" customWidth="1"/>
    <col min="2063" max="2063" width="6.5" style="79" customWidth="1"/>
    <col min="2064" max="2064" width="5.625" style="79" customWidth="1"/>
    <col min="2065" max="2065" width="5.125" style="79" customWidth="1"/>
    <col min="2066" max="2066" width="9" style="79" customWidth="1"/>
    <col min="2067" max="2067" width="12.75" style="79" customWidth="1"/>
    <col min="2068" max="2068" width="3.875" style="79" customWidth="1"/>
    <col min="2069" max="2069" width="5.875" style="79" customWidth="1"/>
    <col min="2070" max="2070" width="5.75" style="79" customWidth="1"/>
    <col min="2071" max="2071" width="4.375" style="79" customWidth="1"/>
    <col min="2072" max="2072" width="8.875" style="79" customWidth="1"/>
    <col min="2073" max="2073" width="8.125" style="79" customWidth="1"/>
    <col min="2074" max="2074" width="9.125" style="79" customWidth="1"/>
    <col min="2075" max="2075" width="0" style="79" hidden="1" customWidth="1"/>
    <col min="2076" max="2076" width="5.75" style="79" customWidth="1"/>
    <col min="2077" max="2077" width="3.625" style="79" customWidth="1"/>
    <col min="2078" max="2078" width="7.625" style="79" customWidth="1"/>
    <col min="2079" max="2079" width="9.375" style="79" customWidth="1"/>
    <col min="2080" max="2080" width="0" style="79" hidden="1" customWidth="1"/>
    <col min="2081" max="2081" width="21.375" style="79" customWidth="1"/>
    <col min="2082" max="2082" width="6.25" style="79" customWidth="1"/>
    <col min="2083" max="2083" width="6" style="79" customWidth="1"/>
    <col min="2084" max="2084" width="16" style="79" customWidth="1"/>
    <col min="2085" max="2297" width="9" style="79" customWidth="1"/>
    <col min="2298" max="2298" width="2.625" style="79" customWidth="1"/>
    <col min="2299" max="2299" width="9.125" style="79" customWidth="1"/>
    <col min="2300" max="2300" width="2.625" style="79" customWidth="1"/>
    <col min="2301" max="2301" width="12" style="79" bestFit="1" customWidth="1"/>
    <col min="2302" max="2302" width="6.625" style="79" customWidth="1"/>
    <col min="2303" max="2303" width="6.375" style="79" customWidth="1"/>
    <col min="2304" max="2307" width="7.25" style="79"/>
    <col min="2308" max="2308" width="2.875" style="79" customWidth="1"/>
    <col min="2309" max="2309" width="10.125" style="79" customWidth="1"/>
    <col min="2310" max="2310" width="6" style="79" customWidth="1"/>
    <col min="2311" max="2311" width="5.875" style="79" customWidth="1"/>
    <col min="2312" max="2312" width="3.5" style="79" customWidth="1"/>
    <col min="2313" max="2313" width="3.875" style="79" customWidth="1"/>
    <col min="2314" max="2314" width="6.125" style="79" customWidth="1"/>
    <col min="2315" max="2315" width="4.125" style="79" customWidth="1"/>
    <col min="2316" max="2317" width="6.25" style="79" customWidth="1"/>
    <col min="2318" max="2318" width="5.25" style="79" customWidth="1"/>
    <col min="2319" max="2319" width="6.5" style="79" customWidth="1"/>
    <col min="2320" max="2320" width="5.625" style="79" customWidth="1"/>
    <col min="2321" max="2321" width="5.125" style="79" customWidth="1"/>
    <col min="2322" max="2322" width="9" style="79" customWidth="1"/>
    <col min="2323" max="2323" width="12.75" style="79" customWidth="1"/>
    <col min="2324" max="2324" width="3.875" style="79" customWidth="1"/>
    <col min="2325" max="2325" width="5.875" style="79" customWidth="1"/>
    <col min="2326" max="2326" width="5.75" style="79" customWidth="1"/>
    <col min="2327" max="2327" width="4.375" style="79" customWidth="1"/>
    <col min="2328" max="2328" width="8.875" style="79" customWidth="1"/>
    <col min="2329" max="2329" width="8.125" style="79" customWidth="1"/>
    <col min="2330" max="2330" width="9.125" style="79" customWidth="1"/>
    <col min="2331" max="2331" width="0" style="79" hidden="1" customWidth="1"/>
    <col min="2332" max="2332" width="5.75" style="79" customWidth="1"/>
    <col min="2333" max="2333" width="3.625" style="79" customWidth="1"/>
    <col min="2334" max="2334" width="7.625" style="79" customWidth="1"/>
    <col min="2335" max="2335" width="9.375" style="79" customWidth="1"/>
    <col min="2336" max="2336" width="0" style="79" hidden="1" customWidth="1"/>
    <col min="2337" max="2337" width="21.375" style="79" customWidth="1"/>
    <col min="2338" max="2338" width="6.25" style="79" customWidth="1"/>
    <col min="2339" max="2339" width="6" style="79" customWidth="1"/>
    <col min="2340" max="2340" width="16" style="79" customWidth="1"/>
    <col min="2341" max="2553" width="9" style="79" customWidth="1"/>
    <col min="2554" max="2554" width="2.625" style="79" customWidth="1"/>
    <col min="2555" max="2555" width="9.125" style="79" customWidth="1"/>
    <col min="2556" max="2556" width="2.625" style="79" customWidth="1"/>
    <col min="2557" max="2557" width="12" style="79" bestFit="1" customWidth="1"/>
    <col min="2558" max="2558" width="6.625" style="79" customWidth="1"/>
    <col min="2559" max="2559" width="6.375" style="79" customWidth="1"/>
    <col min="2560" max="2563" width="7.25" style="79"/>
    <col min="2564" max="2564" width="2.875" style="79" customWidth="1"/>
    <col min="2565" max="2565" width="10.125" style="79" customWidth="1"/>
    <col min="2566" max="2566" width="6" style="79" customWidth="1"/>
    <col min="2567" max="2567" width="5.875" style="79" customWidth="1"/>
    <col min="2568" max="2568" width="3.5" style="79" customWidth="1"/>
    <col min="2569" max="2569" width="3.875" style="79" customWidth="1"/>
    <col min="2570" max="2570" width="6.125" style="79" customWidth="1"/>
    <col min="2571" max="2571" width="4.125" style="79" customWidth="1"/>
    <col min="2572" max="2573" width="6.25" style="79" customWidth="1"/>
    <col min="2574" max="2574" width="5.25" style="79" customWidth="1"/>
    <col min="2575" max="2575" width="6.5" style="79" customWidth="1"/>
    <col min="2576" max="2576" width="5.625" style="79" customWidth="1"/>
    <col min="2577" max="2577" width="5.125" style="79" customWidth="1"/>
    <col min="2578" max="2578" width="9" style="79" customWidth="1"/>
    <col min="2579" max="2579" width="12.75" style="79" customWidth="1"/>
    <col min="2580" max="2580" width="3.875" style="79" customWidth="1"/>
    <col min="2581" max="2581" width="5.875" style="79" customWidth="1"/>
    <col min="2582" max="2582" width="5.75" style="79" customWidth="1"/>
    <col min="2583" max="2583" width="4.375" style="79" customWidth="1"/>
    <col min="2584" max="2584" width="8.875" style="79" customWidth="1"/>
    <col min="2585" max="2585" width="8.125" style="79" customWidth="1"/>
    <col min="2586" max="2586" width="9.125" style="79" customWidth="1"/>
    <col min="2587" max="2587" width="0" style="79" hidden="1" customWidth="1"/>
    <col min="2588" max="2588" width="5.75" style="79" customWidth="1"/>
    <col min="2589" max="2589" width="3.625" style="79" customWidth="1"/>
    <col min="2590" max="2590" width="7.625" style="79" customWidth="1"/>
    <col min="2591" max="2591" width="9.375" style="79" customWidth="1"/>
    <col min="2592" max="2592" width="0" style="79" hidden="1" customWidth="1"/>
    <col min="2593" max="2593" width="21.375" style="79" customWidth="1"/>
    <col min="2594" max="2594" width="6.25" style="79" customWidth="1"/>
    <col min="2595" max="2595" width="6" style="79" customWidth="1"/>
    <col min="2596" max="2596" width="16" style="79" customWidth="1"/>
    <col min="2597" max="2809" width="9" style="79" customWidth="1"/>
    <col min="2810" max="2810" width="2.625" style="79" customWidth="1"/>
    <col min="2811" max="2811" width="9.125" style="79" customWidth="1"/>
    <col min="2812" max="2812" width="2.625" style="79" customWidth="1"/>
    <col min="2813" max="2813" width="12" style="79" bestFit="1" customWidth="1"/>
    <col min="2814" max="2814" width="6.625" style="79" customWidth="1"/>
    <col min="2815" max="2815" width="6.375" style="79" customWidth="1"/>
    <col min="2816" max="2819" width="7.25" style="79"/>
    <col min="2820" max="2820" width="2.875" style="79" customWidth="1"/>
    <col min="2821" max="2821" width="10.125" style="79" customWidth="1"/>
    <col min="2822" max="2822" width="6" style="79" customWidth="1"/>
    <col min="2823" max="2823" width="5.875" style="79" customWidth="1"/>
    <col min="2824" max="2824" width="3.5" style="79" customWidth="1"/>
    <col min="2825" max="2825" width="3.875" style="79" customWidth="1"/>
    <col min="2826" max="2826" width="6.125" style="79" customWidth="1"/>
    <col min="2827" max="2827" width="4.125" style="79" customWidth="1"/>
    <col min="2828" max="2829" width="6.25" style="79" customWidth="1"/>
    <col min="2830" max="2830" width="5.25" style="79" customWidth="1"/>
    <col min="2831" max="2831" width="6.5" style="79" customWidth="1"/>
    <col min="2832" max="2832" width="5.625" style="79" customWidth="1"/>
    <col min="2833" max="2833" width="5.125" style="79" customWidth="1"/>
    <col min="2834" max="2834" width="9" style="79" customWidth="1"/>
    <col min="2835" max="2835" width="12.75" style="79" customWidth="1"/>
    <col min="2836" max="2836" width="3.875" style="79" customWidth="1"/>
    <col min="2837" max="2837" width="5.875" style="79" customWidth="1"/>
    <col min="2838" max="2838" width="5.75" style="79" customWidth="1"/>
    <col min="2839" max="2839" width="4.375" style="79" customWidth="1"/>
    <col min="2840" max="2840" width="8.875" style="79" customWidth="1"/>
    <col min="2841" max="2841" width="8.125" style="79" customWidth="1"/>
    <col min="2842" max="2842" width="9.125" style="79" customWidth="1"/>
    <col min="2843" max="2843" width="0" style="79" hidden="1" customWidth="1"/>
    <col min="2844" max="2844" width="5.75" style="79" customWidth="1"/>
    <col min="2845" max="2845" width="3.625" style="79" customWidth="1"/>
    <col min="2846" max="2846" width="7.625" style="79" customWidth="1"/>
    <col min="2847" max="2847" width="9.375" style="79" customWidth="1"/>
    <col min="2848" max="2848" width="0" style="79" hidden="1" customWidth="1"/>
    <col min="2849" max="2849" width="21.375" style="79" customWidth="1"/>
    <col min="2850" max="2850" width="6.25" style="79" customWidth="1"/>
    <col min="2851" max="2851" width="6" style="79" customWidth="1"/>
    <col min="2852" max="2852" width="16" style="79" customWidth="1"/>
    <col min="2853" max="3065" width="9" style="79" customWidth="1"/>
    <col min="3066" max="3066" width="2.625" style="79" customWidth="1"/>
    <col min="3067" max="3067" width="9.125" style="79" customWidth="1"/>
    <col min="3068" max="3068" width="2.625" style="79" customWidth="1"/>
    <col min="3069" max="3069" width="12" style="79" bestFit="1" customWidth="1"/>
    <col min="3070" max="3070" width="6.625" style="79" customWidth="1"/>
    <col min="3071" max="3071" width="6.375" style="79" customWidth="1"/>
    <col min="3072" max="3075" width="7.25" style="79"/>
    <col min="3076" max="3076" width="2.875" style="79" customWidth="1"/>
    <col min="3077" max="3077" width="10.125" style="79" customWidth="1"/>
    <col min="3078" max="3078" width="6" style="79" customWidth="1"/>
    <col min="3079" max="3079" width="5.875" style="79" customWidth="1"/>
    <col min="3080" max="3080" width="3.5" style="79" customWidth="1"/>
    <col min="3081" max="3081" width="3.875" style="79" customWidth="1"/>
    <col min="3082" max="3082" width="6.125" style="79" customWidth="1"/>
    <col min="3083" max="3083" width="4.125" style="79" customWidth="1"/>
    <col min="3084" max="3085" width="6.25" style="79" customWidth="1"/>
    <col min="3086" max="3086" width="5.25" style="79" customWidth="1"/>
    <col min="3087" max="3087" width="6.5" style="79" customWidth="1"/>
    <col min="3088" max="3088" width="5.625" style="79" customWidth="1"/>
    <col min="3089" max="3089" width="5.125" style="79" customWidth="1"/>
    <col min="3090" max="3090" width="9" style="79" customWidth="1"/>
    <col min="3091" max="3091" width="12.75" style="79" customWidth="1"/>
    <col min="3092" max="3092" width="3.875" style="79" customWidth="1"/>
    <col min="3093" max="3093" width="5.875" style="79" customWidth="1"/>
    <col min="3094" max="3094" width="5.75" style="79" customWidth="1"/>
    <col min="3095" max="3095" width="4.375" style="79" customWidth="1"/>
    <col min="3096" max="3096" width="8.875" style="79" customWidth="1"/>
    <col min="3097" max="3097" width="8.125" style="79" customWidth="1"/>
    <col min="3098" max="3098" width="9.125" style="79" customWidth="1"/>
    <col min="3099" max="3099" width="0" style="79" hidden="1" customWidth="1"/>
    <col min="3100" max="3100" width="5.75" style="79" customWidth="1"/>
    <col min="3101" max="3101" width="3.625" style="79" customWidth="1"/>
    <col min="3102" max="3102" width="7.625" style="79" customWidth="1"/>
    <col min="3103" max="3103" width="9.375" style="79" customWidth="1"/>
    <col min="3104" max="3104" width="0" style="79" hidden="1" customWidth="1"/>
    <col min="3105" max="3105" width="21.375" style="79" customWidth="1"/>
    <col min="3106" max="3106" width="6.25" style="79" customWidth="1"/>
    <col min="3107" max="3107" width="6" style="79" customWidth="1"/>
    <col min="3108" max="3108" width="16" style="79" customWidth="1"/>
    <col min="3109" max="3321" width="9" style="79" customWidth="1"/>
    <col min="3322" max="3322" width="2.625" style="79" customWidth="1"/>
    <col min="3323" max="3323" width="9.125" style="79" customWidth="1"/>
    <col min="3324" max="3324" width="2.625" style="79" customWidth="1"/>
    <col min="3325" max="3325" width="12" style="79" bestFit="1" customWidth="1"/>
    <col min="3326" max="3326" width="6.625" style="79" customWidth="1"/>
    <col min="3327" max="3327" width="6.375" style="79" customWidth="1"/>
    <col min="3328" max="3331" width="7.25" style="79"/>
    <col min="3332" max="3332" width="2.875" style="79" customWidth="1"/>
    <col min="3333" max="3333" width="10.125" style="79" customWidth="1"/>
    <col min="3334" max="3334" width="6" style="79" customWidth="1"/>
    <col min="3335" max="3335" width="5.875" style="79" customWidth="1"/>
    <col min="3336" max="3336" width="3.5" style="79" customWidth="1"/>
    <col min="3337" max="3337" width="3.875" style="79" customWidth="1"/>
    <col min="3338" max="3338" width="6.125" style="79" customWidth="1"/>
    <col min="3339" max="3339" width="4.125" style="79" customWidth="1"/>
    <col min="3340" max="3341" width="6.25" style="79" customWidth="1"/>
    <col min="3342" max="3342" width="5.25" style="79" customWidth="1"/>
    <col min="3343" max="3343" width="6.5" style="79" customWidth="1"/>
    <col min="3344" max="3344" width="5.625" style="79" customWidth="1"/>
    <col min="3345" max="3345" width="5.125" style="79" customWidth="1"/>
    <col min="3346" max="3346" width="9" style="79" customWidth="1"/>
    <col min="3347" max="3347" width="12.75" style="79" customWidth="1"/>
    <col min="3348" max="3348" width="3.875" style="79" customWidth="1"/>
    <col min="3349" max="3349" width="5.875" style="79" customWidth="1"/>
    <col min="3350" max="3350" width="5.75" style="79" customWidth="1"/>
    <col min="3351" max="3351" width="4.375" style="79" customWidth="1"/>
    <col min="3352" max="3352" width="8.875" style="79" customWidth="1"/>
    <col min="3353" max="3353" width="8.125" style="79" customWidth="1"/>
    <col min="3354" max="3354" width="9.125" style="79" customWidth="1"/>
    <col min="3355" max="3355" width="0" style="79" hidden="1" customWidth="1"/>
    <col min="3356" max="3356" width="5.75" style="79" customWidth="1"/>
    <col min="3357" max="3357" width="3.625" style="79" customWidth="1"/>
    <col min="3358" max="3358" width="7.625" style="79" customWidth="1"/>
    <col min="3359" max="3359" width="9.375" style="79" customWidth="1"/>
    <col min="3360" max="3360" width="0" style="79" hidden="1" customWidth="1"/>
    <col min="3361" max="3361" width="21.375" style="79" customWidth="1"/>
    <col min="3362" max="3362" width="6.25" style="79" customWidth="1"/>
    <col min="3363" max="3363" width="6" style="79" customWidth="1"/>
    <col min="3364" max="3364" width="16" style="79" customWidth="1"/>
    <col min="3365" max="3577" width="9" style="79" customWidth="1"/>
    <col min="3578" max="3578" width="2.625" style="79" customWidth="1"/>
    <col min="3579" max="3579" width="9.125" style="79" customWidth="1"/>
    <col min="3580" max="3580" width="2.625" style="79" customWidth="1"/>
    <col min="3581" max="3581" width="12" style="79" bestFit="1" customWidth="1"/>
    <col min="3582" max="3582" width="6.625" style="79" customWidth="1"/>
    <col min="3583" max="3583" width="6.375" style="79" customWidth="1"/>
    <col min="3584" max="3587" width="7.25" style="79"/>
    <col min="3588" max="3588" width="2.875" style="79" customWidth="1"/>
    <col min="3589" max="3589" width="10.125" style="79" customWidth="1"/>
    <col min="3590" max="3590" width="6" style="79" customWidth="1"/>
    <col min="3591" max="3591" width="5.875" style="79" customWidth="1"/>
    <col min="3592" max="3592" width="3.5" style="79" customWidth="1"/>
    <col min="3593" max="3593" width="3.875" style="79" customWidth="1"/>
    <col min="3594" max="3594" width="6.125" style="79" customWidth="1"/>
    <col min="3595" max="3595" width="4.125" style="79" customWidth="1"/>
    <col min="3596" max="3597" width="6.25" style="79" customWidth="1"/>
    <col min="3598" max="3598" width="5.25" style="79" customWidth="1"/>
    <col min="3599" max="3599" width="6.5" style="79" customWidth="1"/>
    <col min="3600" max="3600" width="5.625" style="79" customWidth="1"/>
    <col min="3601" max="3601" width="5.125" style="79" customWidth="1"/>
    <col min="3602" max="3602" width="9" style="79" customWidth="1"/>
    <col min="3603" max="3603" width="12.75" style="79" customWidth="1"/>
    <col min="3604" max="3604" width="3.875" style="79" customWidth="1"/>
    <col min="3605" max="3605" width="5.875" style="79" customWidth="1"/>
    <col min="3606" max="3606" width="5.75" style="79" customWidth="1"/>
    <col min="3607" max="3607" width="4.375" style="79" customWidth="1"/>
    <col min="3608" max="3608" width="8.875" style="79" customWidth="1"/>
    <col min="3609" max="3609" width="8.125" style="79" customWidth="1"/>
    <col min="3610" max="3610" width="9.125" style="79" customWidth="1"/>
    <col min="3611" max="3611" width="0" style="79" hidden="1" customWidth="1"/>
    <col min="3612" max="3612" width="5.75" style="79" customWidth="1"/>
    <col min="3613" max="3613" width="3.625" style="79" customWidth="1"/>
    <col min="3614" max="3614" width="7.625" style="79" customWidth="1"/>
    <col min="3615" max="3615" width="9.375" style="79" customWidth="1"/>
    <col min="3616" max="3616" width="0" style="79" hidden="1" customWidth="1"/>
    <col min="3617" max="3617" width="21.375" style="79" customWidth="1"/>
    <col min="3618" max="3618" width="6.25" style="79" customWidth="1"/>
    <col min="3619" max="3619" width="6" style="79" customWidth="1"/>
    <col min="3620" max="3620" width="16" style="79" customWidth="1"/>
    <col min="3621" max="3833" width="9" style="79" customWidth="1"/>
    <col min="3834" max="3834" width="2.625" style="79" customWidth="1"/>
    <col min="3835" max="3835" width="9.125" style="79" customWidth="1"/>
    <col min="3836" max="3836" width="2.625" style="79" customWidth="1"/>
    <col min="3837" max="3837" width="12" style="79" bestFit="1" customWidth="1"/>
    <col min="3838" max="3838" width="6.625" style="79" customWidth="1"/>
    <col min="3839" max="3839" width="6.375" style="79" customWidth="1"/>
    <col min="3840" max="3843" width="7.25" style="79"/>
    <col min="3844" max="3844" width="2.875" style="79" customWidth="1"/>
    <col min="3845" max="3845" width="10.125" style="79" customWidth="1"/>
    <col min="3846" max="3846" width="6" style="79" customWidth="1"/>
    <col min="3847" max="3847" width="5.875" style="79" customWidth="1"/>
    <col min="3848" max="3848" width="3.5" style="79" customWidth="1"/>
    <col min="3849" max="3849" width="3.875" style="79" customWidth="1"/>
    <col min="3850" max="3850" width="6.125" style="79" customWidth="1"/>
    <col min="3851" max="3851" width="4.125" style="79" customWidth="1"/>
    <col min="3852" max="3853" width="6.25" style="79" customWidth="1"/>
    <col min="3854" max="3854" width="5.25" style="79" customWidth="1"/>
    <col min="3855" max="3855" width="6.5" style="79" customWidth="1"/>
    <col min="3856" max="3856" width="5.625" style="79" customWidth="1"/>
    <col min="3857" max="3857" width="5.125" style="79" customWidth="1"/>
    <col min="3858" max="3858" width="9" style="79" customWidth="1"/>
    <col min="3859" max="3859" width="12.75" style="79" customWidth="1"/>
    <col min="3860" max="3860" width="3.875" style="79" customWidth="1"/>
    <col min="3861" max="3861" width="5.875" style="79" customWidth="1"/>
    <col min="3862" max="3862" width="5.75" style="79" customWidth="1"/>
    <col min="3863" max="3863" width="4.375" style="79" customWidth="1"/>
    <col min="3864" max="3864" width="8.875" style="79" customWidth="1"/>
    <col min="3865" max="3865" width="8.125" style="79" customWidth="1"/>
    <col min="3866" max="3866" width="9.125" style="79" customWidth="1"/>
    <col min="3867" max="3867" width="0" style="79" hidden="1" customWidth="1"/>
    <col min="3868" max="3868" width="5.75" style="79" customWidth="1"/>
    <col min="3869" max="3869" width="3.625" style="79" customWidth="1"/>
    <col min="3870" max="3870" width="7.625" style="79" customWidth="1"/>
    <col min="3871" max="3871" width="9.375" style="79" customWidth="1"/>
    <col min="3872" max="3872" width="0" style="79" hidden="1" customWidth="1"/>
    <col min="3873" max="3873" width="21.375" style="79" customWidth="1"/>
    <col min="3874" max="3874" width="6.25" style="79" customWidth="1"/>
    <col min="3875" max="3875" width="6" style="79" customWidth="1"/>
    <col min="3876" max="3876" width="16" style="79" customWidth="1"/>
    <col min="3877" max="4089" width="9" style="79" customWidth="1"/>
    <col min="4090" max="4090" width="2.625" style="79" customWidth="1"/>
    <col min="4091" max="4091" width="9.125" style="79" customWidth="1"/>
    <col min="4092" max="4092" width="2.625" style="79" customWidth="1"/>
    <col min="4093" max="4093" width="12" style="79" bestFit="1" customWidth="1"/>
    <col min="4094" max="4094" width="6.625" style="79" customWidth="1"/>
    <col min="4095" max="4095" width="6.375" style="79" customWidth="1"/>
    <col min="4096" max="4099" width="7.25" style="79"/>
    <col min="4100" max="4100" width="2.875" style="79" customWidth="1"/>
    <col min="4101" max="4101" width="10.125" style="79" customWidth="1"/>
    <col min="4102" max="4102" width="6" style="79" customWidth="1"/>
    <col min="4103" max="4103" width="5.875" style="79" customWidth="1"/>
    <col min="4104" max="4104" width="3.5" style="79" customWidth="1"/>
    <col min="4105" max="4105" width="3.875" style="79" customWidth="1"/>
    <col min="4106" max="4106" width="6.125" style="79" customWidth="1"/>
    <col min="4107" max="4107" width="4.125" style="79" customWidth="1"/>
    <col min="4108" max="4109" width="6.25" style="79" customWidth="1"/>
    <col min="4110" max="4110" width="5.25" style="79" customWidth="1"/>
    <col min="4111" max="4111" width="6.5" style="79" customWidth="1"/>
    <col min="4112" max="4112" width="5.625" style="79" customWidth="1"/>
    <col min="4113" max="4113" width="5.125" style="79" customWidth="1"/>
    <col min="4114" max="4114" width="9" style="79" customWidth="1"/>
    <col min="4115" max="4115" width="12.75" style="79" customWidth="1"/>
    <col min="4116" max="4116" width="3.875" style="79" customWidth="1"/>
    <col min="4117" max="4117" width="5.875" style="79" customWidth="1"/>
    <col min="4118" max="4118" width="5.75" style="79" customWidth="1"/>
    <col min="4119" max="4119" width="4.375" style="79" customWidth="1"/>
    <col min="4120" max="4120" width="8.875" style="79" customWidth="1"/>
    <col min="4121" max="4121" width="8.125" style="79" customWidth="1"/>
    <col min="4122" max="4122" width="9.125" style="79" customWidth="1"/>
    <col min="4123" max="4123" width="0" style="79" hidden="1" customWidth="1"/>
    <col min="4124" max="4124" width="5.75" style="79" customWidth="1"/>
    <col min="4125" max="4125" width="3.625" style="79" customWidth="1"/>
    <col min="4126" max="4126" width="7.625" style="79" customWidth="1"/>
    <col min="4127" max="4127" width="9.375" style="79" customWidth="1"/>
    <col min="4128" max="4128" width="0" style="79" hidden="1" customWidth="1"/>
    <col min="4129" max="4129" width="21.375" style="79" customWidth="1"/>
    <col min="4130" max="4130" width="6.25" style="79" customWidth="1"/>
    <col min="4131" max="4131" width="6" style="79" customWidth="1"/>
    <col min="4132" max="4132" width="16" style="79" customWidth="1"/>
    <col min="4133" max="4345" width="9" style="79" customWidth="1"/>
    <col min="4346" max="4346" width="2.625" style="79" customWidth="1"/>
    <col min="4347" max="4347" width="9.125" style="79" customWidth="1"/>
    <col min="4348" max="4348" width="2.625" style="79" customWidth="1"/>
    <col min="4349" max="4349" width="12" style="79" bestFit="1" customWidth="1"/>
    <col min="4350" max="4350" width="6.625" style="79" customWidth="1"/>
    <col min="4351" max="4351" width="6.375" style="79" customWidth="1"/>
    <col min="4352" max="4355" width="7.25" style="79"/>
    <col min="4356" max="4356" width="2.875" style="79" customWidth="1"/>
    <col min="4357" max="4357" width="10.125" style="79" customWidth="1"/>
    <col min="4358" max="4358" width="6" style="79" customWidth="1"/>
    <col min="4359" max="4359" width="5.875" style="79" customWidth="1"/>
    <col min="4360" max="4360" width="3.5" style="79" customWidth="1"/>
    <col min="4361" max="4361" width="3.875" style="79" customWidth="1"/>
    <col min="4362" max="4362" width="6.125" style="79" customWidth="1"/>
    <col min="4363" max="4363" width="4.125" style="79" customWidth="1"/>
    <col min="4364" max="4365" width="6.25" style="79" customWidth="1"/>
    <col min="4366" max="4366" width="5.25" style="79" customWidth="1"/>
    <col min="4367" max="4367" width="6.5" style="79" customWidth="1"/>
    <col min="4368" max="4368" width="5.625" style="79" customWidth="1"/>
    <col min="4369" max="4369" width="5.125" style="79" customWidth="1"/>
    <col min="4370" max="4370" width="9" style="79" customWidth="1"/>
    <col min="4371" max="4371" width="12.75" style="79" customWidth="1"/>
    <col min="4372" max="4372" width="3.875" style="79" customWidth="1"/>
    <col min="4373" max="4373" width="5.875" style="79" customWidth="1"/>
    <col min="4374" max="4374" width="5.75" style="79" customWidth="1"/>
    <col min="4375" max="4375" width="4.375" style="79" customWidth="1"/>
    <col min="4376" max="4376" width="8.875" style="79" customWidth="1"/>
    <col min="4377" max="4377" width="8.125" style="79" customWidth="1"/>
    <col min="4378" max="4378" width="9.125" style="79" customWidth="1"/>
    <col min="4379" max="4379" width="0" style="79" hidden="1" customWidth="1"/>
    <col min="4380" max="4380" width="5.75" style="79" customWidth="1"/>
    <col min="4381" max="4381" width="3.625" style="79" customWidth="1"/>
    <col min="4382" max="4382" width="7.625" style="79" customWidth="1"/>
    <col min="4383" max="4383" width="9.375" style="79" customWidth="1"/>
    <col min="4384" max="4384" width="0" style="79" hidden="1" customWidth="1"/>
    <col min="4385" max="4385" width="21.375" style="79" customWidth="1"/>
    <col min="4386" max="4386" width="6.25" style="79" customWidth="1"/>
    <col min="4387" max="4387" width="6" style="79" customWidth="1"/>
    <col min="4388" max="4388" width="16" style="79" customWidth="1"/>
    <col min="4389" max="4601" width="9" style="79" customWidth="1"/>
    <col min="4602" max="4602" width="2.625" style="79" customWidth="1"/>
    <col min="4603" max="4603" width="9.125" style="79" customWidth="1"/>
    <col min="4604" max="4604" width="2.625" style="79" customWidth="1"/>
    <col min="4605" max="4605" width="12" style="79" bestFit="1" customWidth="1"/>
    <col min="4606" max="4606" width="6.625" style="79" customWidth="1"/>
    <col min="4607" max="4607" width="6.375" style="79" customWidth="1"/>
    <col min="4608" max="4611" width="7.25" style="79"/>
    <col min="4612" max="4612" width="2.875" style="79" customWidth="1"/>
    <col min="4613" max="4613" width="10.125" style="79" customWidth="1"/>
    <col min="4614" max="4614" width="6" style="79" customWidth="1"/>
    <col min="4615" max="4615" width="5.875" style="79" customWidth="1"/>
    <col min="4616" max="4616" width="3.5" style="79" customWidth="1"/>
    <col min="4617" max="4617" width="3.875" style="79" customWidth="1"/>
    <col min="4618" max="4618" width="6.125" style="79" customWidth="1"/>
    <col min="4619" max="4619" width="4.125" style="79" customWidth="1"/>
    <col min="4620" max="4621" width="6.25" style="79" customWidth="1"/>
    <col min="4622" max="4622" width="5.25" style="79" customWidth="1"/>
    <col min="4623" max="4623" width="6.5" style="79" customWidth="1"/>
    <col min="4624" max="4624" width="5.625" style="79" customWidth="1"/>
    <col min="4625" max="4625" width="5.125" style="79" customWidth="1"/>
    <col min="4626" max="4626" width="9" style="79" customWidth="1"/>
    <col min="4627" max="4627" width="12.75" style="79" customWidth="1"/>
    <col min="4628" max="4628" width="3.875" style="79" customWidth="1"/>
    <col min="4629" max="4629" width="5.875" style="79" customWidth="1"/>
    <col min="4630" max="4630" width="5.75" style="79" customWidth="1"/>
    <col min="4631" max="4631" width="4.375" style="79" customWidth="1"/>
    <col min="4632" max="4632" width="8.875" style="79" customWidth="1"/>
    <col min="4633" max="4633" width="8.125" style="79" customWidth="1"/>
    <col min="4634" max="4634" width="9.125" style="79" customWidth="1"/>
    <col min="4635" max="4635" width="0" style="79" hidden="1" customWidth="1"/>
    <col min="4636" max="4636" width="5.75" style="79" customWidth="1"/>
    <col min="4637" max="4637" width="3.625" style="79" customWidth="1"/>
    <col min="4638" max="4638" width="7.625" style="79" customWidth="1"/>
    <col min="4639" max="4639" width="9.375" style="79" customWidth="1"/>
    <col min="4640" max="4640" width="0" style="79" hidden="1" customWidth="1"/>
    <col min="4641" max="4641" width="21.375" style="79" customWidth="1"/>
    <col min="4642" max="4642" width="6.25" style="79" customWidth="1"/>
    <col min="4643" max="4643" width="6" style="79" customWidth="1"/>
    <col min="4644" max="4644" width="16" style="79" customWidth="1"/>
    <col min="4645" max="4857" width="9" style="79" customWidth="1"/>
    <col min="4858" max="4858" width="2.625" style="79" customWidth="1"/>
    <col min="4859" max="4859" width="9.125" style="79" customWidth="1"/>
    <col min="4860" max="4860" width="2.625" style="79" customWidth="1"/>
    <col min="4861" max="4861" width="12" style="79" bestFit="1" customWidth="1"/>
    <col min="4862" max="4862" width="6.625" style="79" customWidth="1"/>
    <col min="4863" max="4863" width="6.375" style="79" customWidth="1"/>
    <col min="4864" max="4867" width="7.25" style="79"/>
    <col min="4868" max="4868" width="2.875" style="79" customWidth="1"/>
    <col min="4869" max="4869" width="10.125" style="79" customWidth="1"/>
    <col min="4870" max="4870" width="6" style="79" customWidth="1"/>
    <col min="4871" max="4871" width="5.875" style="79" customWidth="1"/>
    <col min="4872" max="4872" width="3.5" style="79" customWidth="1"/>
    <col min="4873" max="4873" width="3.875" style="79" customWidth="1"/>
    <col min="4874" max="4874" width="6.125" style="79" customWidth="1"/>
    <col min="4875" max="4875" width="4.125" style="79" customWidth="1"/>
    <col min="4876" max="4877" width="6.25" style="79" customWidth="1"/>
    <col min="4878" max="4878" width="5.25" style="79" customWidth="1"/>
    <col min="4879" max="4879" width="6.5" style="79" customWidth="1"/>
    <col min="4880" max="4880" width="5.625" style="79" customWidth="1"/>
    <col min="4881" max="4881" width="5.125" style="79" customWidth="1"/>
    <col min="4882" max="4882" width="9" style="79" customWidth="1"/>
    <col min="4883" max="4883" width="12.75" style="79" customWidth="1"/>
    <col min="4884" max="4884" width="3.875" style="79" customWidth="1"/>
    <col min="4885" max="4885" width="5.875" style="79" customWidth="1"/>
    <col min="4886" max="4886" width="5.75" style="79" customWidth="1"/>
    <col min="4887" max="4887" width="4.375" style="79" customWidth="1"/>
    <col min="4888" max="4888" width="8.875" style="79" customWidth="1"/>
    <col min="4889" max="4889" width="8.125" style="79" customWidth="1"/>
    <col min="4890" max="4890" width="9.125" style="79" customWidth="1"/>
    <col min="4891" max="4891" width="0" style="79" hidden="1" customWidth="1"/>
    <col min="4892" max="4892" width="5.75" style="79" customWidth="1"/>
    <col min="4893" max="4893" width="3.625" style="79" customWidth="1"/>
    <col min="4894" max="4894" width="7.625" style="79" customWidth="1"/>
    <col min="4895" max="4895" width="9.375" style="79" customWidth="1"/>
    <col min="4896" max="4896" width="0" style="79" hidden="1" customWidth="1"/>
    <col min="4897" max="4897" width="21.375" style="79" customWidth="1"/>
    <col min="4898" max="4898" width="6.25" style="79" customWidth="1"/>
    <col min="4899" max="4899" width="6" style="79" customWidth="1"/>
    <col min="4900" max="4900" width="16" style="79" customWidth="1"/>
    <col min="4901" max="5113" width="9" style="79" customWidth="1"/>
    <col min="5114" max="5114" width="2.625" style="79" customWidth="1"/>
    <col min="5115" max="5115" width="9.125" style="79" customWidth="1"/>
    <col min="5116" max="5116" width="2.625" style="79" customWidth="1"/>
    <col min="5117" max="5117" width="12" style="79" bestFit="1" customWidth="1"/>
    <col min="5118" max="5118" width="6.625" style="79" customWidth="1"/>
    <col min="5119" max="5119" width="6.375" style="79" customWidth="1"/>
    <col min="5120" max="5123" width="7.25" style="79"/>
    <col min="5124" max="5124" width="2.875" style="79" customWidth="1"/>
    <col min="5125" max="5125" width="10.125" style="79" customWidth="1"/>
    <col min="5126" max="5126" width="6" style="79" customWidth="1"/>
    <col min="5127" max="5127" width="5.875" style="79" customWidth="1"/>
    <col min="5128" max="5128" width="3.5" style="79" customWidth="1"/>
    <col min="5129" max="5129" width="3.875" style="79" customWidth="1"/>
    <col min="5130" max="5130" width="6.125" style="79" customWidth="1"/>
    <col min="5131" max="5131" width="4.125" style="79" customWidth="1"/>
    <col min="5132" max="5133" width="6.25" style="79" customWidth="1"/>
    <col min="5134" max="5134" width="5.25" style="79" customWidth="1"/>
    <col min="5135" max="5135" width="6.5" style="79" customWidth="1"/>
    <col min="5136" max="5136" width="5.625" style="79" customWidth="1"/>
    <col min="5137" max="5137" width="5.125" style="79" customWidth="1"/>
    <col min="5138" max="5138" width="9" style="79" customWidth="1"/>
    <col min="5139" max="5139" width="12.75" style="79" customWidth="1"/>
    <col min="5140" max="5140" width="3.875" style="79" customWidth="1"/>
    <col min="5141" max="5141" width="5.875" style="79" customWidth="1"/>
    <col min="5142" max="5142" width="5.75" style="79" customWidth="1"/>
    <col min="5143" max="5143" width="4.375" style="79" customWidth="1"/>
    <col min="5144" max="5144" width="8.875" style="79" customWidth="1"/>
    <col min="5145" max="5145" width="8.125" style="79" customWidth="1"/>
    <col min="5146" max="5146" width="9.125" style="79" customWidth="1"/>
    <col min="5147" max="5147" width="0" style="79" hidden="1" customWidth="1"/>
    <col min="5148" max="5148" width="5.75" style="79" customWidth="1"/>
    <col min="5149" max="5149" width="3.625" style="79" customWidth="1"/>
    <col min="5150" max="5150" width="7.625" style="79" customWidth="1"/>
    <col min="5151" max="5151" width="9.375" style="79" customWidth="1"/>
    <col min="5152" max="5152" width="0" style="79" hidden="1" customWidth="1"/>
    <col min="5153" max="5153" width="21.375" style="79" customWidth="1"/>
    <col min="5154" max="5154" width="6.25" style="79" customWidth="1"/>
    <col min="5155" max="5155" width="6" style="79" customWidth="1"/>
    <col min="5156" max="5156" width="16" style="79" customWidth="1"/>
    <col min="5157" max="5369" width="9" style="79" customWidth="1"/>
    <col min="5370" max="5370" width="2.625" style="79" customWidth="1"/>
    <col min="5371" max="5371" width="9.125" style="79" customWidth="1"/>
    <col min="5372" max="5372" width="2.625" style="79" customWidth="1"/>
    <col min="5373" max="5373" width="12" style="79" bestFit="1" customWidth="1"/>
    <col min="5374" max="5374" width="6.625" style="79" customWidth="1"/>
    <col min="5375" max="5375" width="6.375" style="79" customWidth="1"/>
    <col min="5376" max="5379" width="7.25" style="79"/>
    <col min="5380" max="5380" width="2.875" style="79" customWidth="1"/>
    <col min="5381" max="5381" width="10.125" style="79" customWidth="1"/>
    <col min="5382" max="5382" width="6" style="79" customWidth="1"/>
    <col min="5383" max="5383" width="5.875" style="79" customWidth="1"/>
    <col min="5384" max="5384" width="3.5" style="79" customWidth="1"/>
    <col min="5385" max="5385" width="3.875" style="79" customWidth="1"/>
    <col min="5386" max="5386" width="6.125" style="79" customWidth="1"/>
    <col min="5387" max="5387" width="4.125" style="79" customWidth="1"/>
    <col min="5388" max="5389" width="6.25" style="79" customWidth="1"/>
    <col min="5390" max="5390" width="5.25" style="79" customWidth="1"/>
    <col min="5391" max="5391" width="6.5" style="79" customWidth="1"/>
    <col min="5392" max="5392" width="5.625" style="79" customWidth="1"/>
    <col min="5393" max="5393" width="5.125" style="79" customWidth="1"/>
    <col min="5394" max="5394" width="9" style="79" customWidth="1"/>
    <col min="5395" max="5395" width="12.75" style="79" customWidth="1"/>
    <col min="5396" max="5396" width="3.875" style="79" customWidth="1"/>
    <col min="5397" max="5397" width="5.875" style="79" customWidth="1"/>
    <col min="5398" max="5398" width="5.75" style="79" customWidth="1"/>
    <col min="5399" max="5399" width="4.375" style="79" customWidth="1"/>
    <col min="5400" max="5400" width="8.875" style="79" customWidth="1"/>
    <col min="5401" max="5401" width="8.125" style="79" customWidth="1"/>
    <col min="5402" max="5402" width="9.125" style="79" customWidth="1"/>
    <col min="5403" max="5403" width="0" style="79" hidden="1" customWidth="1"/>
    <col min="5404" max="5404" width="5.75" style="79" customWidth="1"/>
    <col min="5405" max="5405" width="3.625" style="79" customWidth="1"/>
    <col min="5406" max="5406" width="7.625" style="79" customWidth="1"/>
    <col min="5407" max="5407" width="9.375" style="79" customWidth="1"/>
    <col min="5408" max="5408" width="0" style="79" hidden="1" customWidth="1"/>
    <col min="5409" max="5409" width="21.375" style="79" customWidth="1"/>
    <col min="5410" max="5410" width="6.25" style="79" customWidth="1"/>
    <col min="5411" max="5411" width="6" style="79" customWidth="1"/>
    <col min="5412" max="5412" width="16" style="79" customWidth="1"/>
    <col min="5413" max="5625" width="9" style="79" customWidth="1"/>
    <col min="5626" max="5626" width="2.625" style="79" customWidth="1"/>
    <col min="5627" max="5627" width="9.125" style="79" customWidth="1"/>
    <col min="5628" max="5628" width="2.625" style="79" customWidth="1"/>
    <col min="5629" max="5629" width="12" style="79" bestFit="1" customWidth="1"/>
    <col min="5630" max="5630" width="6.625" style="79" customWidth="1"/>
    <col min="5631" max="5631" width="6.375" style="79" customWidth="1"/>
    <col min="5632" max="5635" width="7.25" style="79"/>
    <col min="5636" max="5636" width="2.875" style="79" customWidth="1"/>
    <col min="5637" max="5637" width="10.125" style="79" customWidth="1"/>
    <col min="5638" max="5638" width="6" style="79" customWidth="1"/>
    <col min="5639" max="5639" width="5.875" style="79" customWidth="1"/>
    <col min="5640" max="5640" width="3.5" style="79" customWidth="1"/>
    <col min="5641" max="5641" width="3.875" style="79" customWidth="1"/>
    <col min="5642" max="5642" width="6.125" style="79" customWidth="1"/>
    <col min="5643" max="5643" width="4.125" style="79" customWidth="1"/>
    <col min="5644" max="5645" width="6.25" style="79" customWidth="1"/>
    <col min="5646" max="5646" width="5.25" style="79" customWidth="1"/>
    <col min="5647" max="5647" width="6.5" style="79" customWidth="1"/>
    <col min="5648" max="5648" width="5.625" style="79" customWidth="1"/>
    <col min="5649" max="5649" width="5.125" style="79" customWidth="1"/>
    <col min="5650" max="5650" width="9" style="79" customWidth="1"/>
    <col min="5651" max="5651" width="12.75" style="79" customWidth="1"/>
    <col min="5652" max="5652" width="3.875" style="79" customWidth="1"/>
    <col min="5653" max="5653" width="5.875" style="79" customWidth="1"/>
    <col min="5654" max="5654" width="5.75" style="79" customWidth="1"/>
    <col min="5655" max="5655" width="4.375" style="79" customWidth="1"/>
    <col min="5656" max="5656" width="8.875" style="79" customWidth="1"/>
    <col min="5657" max="5657" width="8.125" style="79" customWidth="1"/>
    <col min="5658" max="5658" width="9.125" style="79" customWidth="1"/>
    <col min="5659" max="5659" width="0" style="79" hidden="1" customWidth="1"/>
    <col min="5660" max="5660" width="5.75" style="79" customWidth="1"/>
    <col min="5661" max="5661" width="3.625" style="79" customWidth="1"/>
    <col min="5662" max="5662" width="7.625" style="79" customWidth="1"/>
    <col min="5663" max="5663" width="9.375" style="79" customWidth="1"/>
    <col min="5664" max="5664" width="0" style="79" hidden="1" customWidth="1"/>
    <col min="5665" max="5665" width="21.375" style="79" customWidth="1"/>
    <col min="5666" max="5666" width="6.25" style="79" customWidth="1"/>
    <col min="5667" max="5667" width="6" style="79" customWidth="1"/>
    <col min="5668" max="5668" width="16" style="79" customWidth="1"/>
    <col min="5669" max="5881" width="9" style="79" customWidth="1"/>
    <col min="5882" max="5882" width="2.625" style="79" customWidth="1"/>
    <col min="5883" max="5883" width="9.125" style="79" customWidth="1"/>
    <col min="5884" max="5884" width="2.625" style="79" customWidth="1"/>
    <col min="5885" max="5885" width="12" style="79" bestFit="1" customWidth="1"/>
    <col min="5886" max="5886" width="6.625" style="79" customWidth="1"/>
    <col min="5887" max="5887" width="6.375" style="79" customWidth="1"/>
    <col min="5888" max="5891" width="7.25" style="79"/>
    <col min="5892" max="5892" width="2.875" style="79" customWidth="1"/>
    <col min="5893" max="5893" width="10.125" style="79" customWidth="1"/>
    <col min="5894" max="5894" width="6" style="79" customWidth="1"/>
    <col min="5895" max="5895" width="5.875" style="79" customWidth="1"/>
    <col min="5896" max="5896" width="3.5" style="79" customWidth="1"/>
    <col min="5897" max="5897" width="3.875" style="79" customWidth="1"/>
    <col min="5898" max="5898" width="6.125" style="79" customWidth="1"/>
    <col min="5899" max="5899" width="4.125" style="79" customWidth="1"/>
    <col min="5900" max="5901" width="6.25" style="79" customWidth="1"/>
    <col min="5902" max="5902" width="5.25" style="79" customWidth="1"/>
    <col min="5903" max="5903" width="6.5" style="79" customWidth="1"/>
    <col min="5904" max="5904" width="5.625" style="79" customWidth="1"/>
    <col min="5905" max="5905" width="5.125" style="79" customWidth="1"/>
    <col min="5906" max="5906" width="9" style="79" customWidth="1"/>
    <col min="5907" max="5907" width="12.75" style="79" customWidth="1"/>
    <col min="5908" max="5908" width="3.875" style="79" customWidth="1"/>
    <col min="5909" max="5909" width="5.875" style="79" customWidth="1"/>
    <col min="5910" max="5910" width="5.75" style="79" customWidth="1"/>
    <col min="5911" max="5911" width="4.375" style="79" customWidth="1"/>
    <col min="5912" max="5912" width="8.875" style="79" customWidth="1"/>
    <col min="5913" max="5913" width="8.125" style="79" customWidth="1"/>
    <col min="5914" max="5914" width="9.125" style="79" customWidth="1"/>
    <col min="5915" max="5915" width="0" style="79" hidden="1" customWidth="1"/>
    <col min="5916" max="5916" width="5.75" style="79" customWidth="1"/>
    <col min="5917" max="5917" width="3.625" style="79" customWidth="1"/>
    <col min="5918" max="5918" width="7.625" style="79" customWidth="1"/>
    <col min="5919" max="5919" width="9.375" style="79" customWidth="1"/>
    <col min="5920" max="5920" width="0" style="79" hidden="1" customWidth="1"/>
    <col min="5921" max="5921" width="21.375" style="79" customWidth="1"/>
    <col min="5922" max="5922" width="6.25" style="79" customWidth="1"/>
    <col min="5923" max="5923" width="6" style="79" customWidth="1"/>
    <col min="5924" max="5924" width="16" style="79" customWidth="1"/>
    <col min="5925" max="6137" width="9" style="79" customWidth="1"/>
    <col min="6138" max="6138" width="2.625" style="79" customWidth="1"/>
    <col min="6139" max="6139" width="9.125" style="79" customWidth="1"/>
    <col min="6140" max="6140" width="2.625" style="79" customWidth="1"/>
    <col min="6141" max="6141" width="12" style="79" bestFit="1" customWidth="1"/>
    <col min="6142" max="6142" width="6.625" style="79" customWidth="1"/>
    <col min="6143" max="6143" width="6.375" style="79" customWidth="1"/>
    <col min="6144" max="6147" width="7.25" style="79"/>
    <col min="6148" max="6148" width="2.875" style="79" customWidth="1"/>
    <col min="6149" max="6149" width="10.125" style="79" customWidth="1"/>
    <col min="6150" max="6150" width="6" style="79" customWidth="1"/>
    <col min="6151" max="6151" width="5.875" style="79" customWidth="1"/>
    <col min="6152" max="6152" width="3.5" style="79" customWidth="1"/>
    <col min="6153" max="6153" width="3.875" style="79" customWidth="1"/>
    <col min="6154" max="6154" width="6.125" style="79" customWidth="1"/>
    <col min="6155" max="6155" width="4.125" style="79" customWidth="1"/>
    <col min="6156" max="6157" width="6.25" style="79" customWidth="1"/>
    <col min="6158" max="6158" width="5.25" style="79" customWidth="1"/>
    <col min="6159" max="6159" width="6.5" style="79" customWidth="1"/>
    <col min="6160" max="6160" width="5.625" style="79" customWidth="1"/>
    <col min="6161" max="6161" width="5.125" style="79" customWidth="1"/>
    <col min="6162" max="6162" width="9" style="79" customWidth="1"/>
    <col min="6163" max="6163" width="12.75" style="79" customWidth="1"/>
    <col min="6164" max="6164" width="3.875" style="79" customWidth="1"/>
    <col min="6165" max="6165" width="5.875" style="79" customWidth="1"/>
    <col min="6166" max="6166" width="5.75" style="79" customWidth="1"/>
    <col min="6167" max="6167" width="4.375" style="79" customWidth="1"/>
    <col min="6168" max="6168" width="8.875" style="79" customWidth="1"/>
    <col min="6169" max="6169" width="8.125" style="79" customWidth="1"/>
    <col min="6170" max="6170" width="9.125" style="79" customWidth="1"/>
    <col min="6171" max="6171" width="0" style="79" hidden="1" customWidth="1"/>
    <col min="6172" max="6172" width="5.75" style="79" customWidth="1"/>
    <col min="6173" max="6173" width="3.625" style="79" customWidth="1"/>
    <col min="6174" max="6174" width="7.625" style="79" customWidth="1"/>
    <col min="6175" max="6175" width="9.375" style="79" customWidth="1"/>
    <col min="6176" max="6176" width="0" style="79" hidden="1" customWidth="1"/>
    <col min="6177" max="6177" width="21.375" style="79" customWidth="1"/>
    <col min="6178" max="6178" width="6.25" style="79" customWidth="1"/>
    <col min="6179" max="6179" width="6" style="79" customWidth="1"/>
    <col min="6180" max="6180" width="16" style="79" customWidth="1"/>
    <col min="6181" max="6393" width="9" style="79" customWidth="1"/>
    <col min="6394" max="6394" width="2.625" style="79" customWidth="1"/>
    <col min="6395" max="6395" width="9.125" style="79" customWidth="1"/>
    <col min="6396" max="6396" width="2.625" style="79" customWidth="1"/>
    <col min="6397" max="6397" width="12" style="79" bestFit="1" customWidth="1"/>
    <col min="6398" max="6398" width="6.625" style="79" customWidth="1"/>
    <col min="6399" max="6399" width="6.375" style="79" customWidth="1"/>
    <col min="6400" max="6403" width="7.25" style="79"/>
    <col min="6404" max="6404" width="2.875" style="79" customWidth="1"/>
    <col min="6405" max="6405" width="10.125" style="79" customWidth="1"/>
    <col min="6406" max="6406" width="6" style="79" customWidth="1"/>
    <col min="6407" max="6407" width="5.875" style="79" customWidth="1"/>
    <col min="6408" max="6408" width="3.5" style="79" customWidth="1"/>
    <col min="6409" max="6409" width="3.875" style="79" customWidth="1"/>
    <col min="6410" max="6410" width="6.125" style="79" customWidth="1"/>
    <col min="6411" max="6411" width="4.125" style="79" customWidth="1"/>
    <col min="6412" max="6413" width="6.25" style="79" customWidth="1"/>
    <col min="6414" max="6414" width="5.25" style="79" customWidth="1"/>
    <col min="6415" max="6415" width="6.5" style="79" customWidth="1"/>
    <col min="6416" max="6416" width="5.625" style="79" customWidth="1"/>
    <col min="6417" max="6417" width="5.125" style="79" customWidth="1"/>
    <col min="6418" max="6418" width="9" style="79" customWidth="1"/>
    <col min="6419" max="6419" width="12.75" style="79" customWidth="1"/>
    <col min="6420" max="6420" width="3.875" style="79" customWidth="1"/>
    <col min="6421" max="6421" width="5.875" style="79" customWidth="1"/>
    <col min="6422" max="6422" width="5.75" style="79" customWidth="1"/>
    <col min="6423" max="6423" width="4.375" style="79" customWidth="1"/>
    <col min="6424" max="6424" width="8.875" style="79" customWidth="1"/>
    <col min="6425" max="6425" width="8.125" style="79" customWidth="1"/>
    <col min="6426" max="6426" width="9.125" style="79" customWidth="1"/>
    <col min="6427" max="6427" width="0" style="79" hidden="1" customWidth="1"/>
    <col min="6428" max="6428" width="5.75" style="79" customWidth="1"/>
    <col min="6429" max="6429" width="3.625" style="79" customWidth="1"/>
    <col min="6430" max="6430" width="7.625" style="79" customWidth="1"/>
    <col min="6431" max="6431" width="9.375" style="79" customWidth="1"/>
    <col min="6432" max="6432" width="0" style="79" hidden="1" customWidth="1"/>
    <col min="6433" max="6433" width="21.375" style="79" customWidth="1"/>
    <col min="6434" max="6434" width="6.25" style="79" customWidth="1"/>
    <col min="6435" max="6435" width="6" style="79" customWidth="1"/>
    <col min="6436" max="6436" width="16" style="79" customWidth="1"/>
    <col min="6437" max="6649" width="9" style="79" customWidth="1"/>
    <col min="6650" max="6650" width="2.625" style="79" customWidth="1"/>
    <col min="6651" max="6651" width="9.125" style="79" customWidth="1"/>
    <col min="6652" max="6652" width="2.625" style="79" customWidth="1"/>
    <col min="6653" max="6653" width="12" style="79" bestFit="1" customWidth="1"/>
    <col min="6654" max="6654" width="6.625" style="79" customWidth="1"/>
    <col min="6655" max="6655" width="6.375" style="79" customWidth="1"/>
    <col min="6656" max="6659" width="7.25" style="79"/>
    <col min="6660" max="6660" width="2.875" style="79" customWidth="1"/>
    <col min="6661" max="6661" width="10.125" style="79" customWidth="1"/>
    <col min="6662" max="6662" width="6" style="79" customWidth="1"/>
    <col min="6663" max="6663" width="5.875" style="79" customWidth="1"/>
    <col min="6664" max="6664" width="3.5" style="79" customWidth="1"/>
    <col min="6665" max="6665" width="3.875" style="79" customWidth="1"/>
    <col min="6666" max="6666" width="6.125" style="79" customWidth="1"/>
    <col min="6667" max="6667" width="4.125" style="79" customWidth="1"/>
    <col min="6668" max="6669" width="6.25" style="79" customWidth="1"/>
    <col min="6670" max="6670" width="5.25" style="79" customWidth="1"/>
    <col min="6671" max="6671" width="6.5" style="79" customWidth="1"/>
    <col min="6672" max="6672" width="5.625" style="79" customWidth="1"/>
    <col min="6673" max="6673" width="5.125" style="79" customWidth="1"/>
    <col min="6674" max="6674" width="9" style="79" customWidth="1"/>
    <col min="6675" max="6675" width="12.75" style="79" customWidth="1"/>
    <col min="6676" max="6676" width="3.875" style="79" customWidth="1"/>
    <col min="6677" max="6677" width="5.875" style="79" customWidth="1"/>
    <col min="6678" max="6678" width="5.75" style="79" customWidth="1"/>
    <col min="6679" max="6679" width="4.375" style="79" customWidth="1"/>
    <col min="6680" max="6680" width="8.875" style="79" customWidth="1"/>
    <col min="6681" max="6681" width="8.125" style="79" customWidth="1"/>
    <col min="6682" max="6682" width="9.125" style="79" customWidth="1"/>
    <col min="6683" max="6683" width="0" style="79" hidden="1" customWidth="1"/>
    <col min="6684" max="6684" width="5.75" style="79" customWidth="1"/>
    <col min="6685" max="6685" width="3.625" style="79" customWidth="1"/>
    <col min="6686" max="6686" width="7.625" style="79" customWidth="1"/>
    <col min="6687" max="6687" width="9.375" style="79" customWidth="1"/>
    <col min="6688" max="6688" width="0" style="79" hidden="1" customWidth="1"/>
    <col min="6689" max="6689" width="21.375" style="79" customWidth="1"/>
    <col min="6690" max="6690" width="6.25" style="79" customWidth="1"/>
    <col min="6691" max="6691" width="6" style="79" customWidth="1"/>
    <col min="6692" max="6692" width="16" style="79" customWidth="1"/>
    <col min="6693" max="6905" width="9" style="79" customWidth="1"/>
    <col min="6906" max="6906" width="2.625" style="79" customWidth="1"/>
    <col min="6907" max="6907" width="9.125" style="79" customWidth="1"/>
    <col min="6908" max="6908" width="2.625" style="79" customWidth="1"/>
    <col min="6909" max="6909" width="12" style="79" bestFit="1" customWidth="1"/>
    <col min="6910" max="6910" width="6.625" style="79" customWidth="1"/>
    <col min="6911" max="6911" width="6.375" style="79" customWidth="1"/>
    <col min="6912" max="6915" width="7.25" style="79"/>
    <col min="6916" max="6916" width="2.875" style="79" customWidth="1"/>
    <col min="6917" max="6917" width="10.125" style="79" customWidth="1"/>
    <col min="6918" max="6918" width="6" style="79" customWidth="1"/>
    <col min="6919" max="6919" width="5.875" style="79" customWidth="1"/>
    <col min="6920" max="6920" width="3.5" style="79" customWidth="1"/>
    <col min="6921" max="6921" width="3.875" style="79" customWidth="1"/>
    <col min="6922" max="6922" width="6.125" style="79" customWidth="1"/>
    <col min="6923" max="6923" width="4.125" style="79" customWidth="1"/>
    <col min="6924" max="6925" width="6.25" style="79" customWidth="1"/>
    <col min="6926" max="6926" width="5.25" style="79" customWidth="1"/>
    <col min="6927" max="6927" width="6.5" style="79" customWidth="1"/>
    <col min="6928" max="6928" width="5.625" style="79" customWidth="1"/>
    <col min="6929" max="6929" width="5.125" style="79" customWidth="1"/>
    <col min="6930" max="6930" width="9" style="79" customWidth="1"/>
    <col min="6931" max="6931" width="12.75" style="79" customWidth="1"/>
    <col min="6932" max="6932" width="3.875" style="79" customWidth="1"/>
    <col min="6933" max="6933" width="5.875" style="79" customWidth="1"/>
    <col min="6934" max="6934" width="5.75" style="79" customWidth="1"/>
    <col min="6935" max="6935" width="4.375" style="79" customWidth="1"/>
    <col min="6936" max="6936" width="8.875" style="79" customWidth="1"/>
    <col min="6937" max="6937" width="8.125" style="79" customWidth="1"/>
    <col min="6938" max="6938" width="9.125" style="79" customWidth="1"/>
    <col min="6939" max="6939" width="0" style="79" hidden="1" customWidth="1"/>
    <col min="6940" max="6940" width="5.75" style="79" customWidth="1"/>
    <col min="6941" max="6941" width="3.625" style="79" customWidth="1"/>
    <col min="6942" max="6942" width="7.625" style="79" customWidth="1"/>
    <col min="6943" max="6943" width="9.375" style="79" customWidth="1"/>
    <col min="6944" max="6944" width="0" style="79" hidden="1" customWidth="1"/>
    <col min="6945" max="6945" width="21.375" style="79" customWidth="1"/>
    <col min="6946" max="6946" width="6.25" style="79" customWidth="1"/>
    <col min="6947" max="6947" width="6" style="79" customWidth="1"/>
    <col min="6948" max="6948" width="16" style="79" customWidth="1"/>
    <col min="6949" max="7161" width="9" style="79" customWidth="1"/>
    <col min="7162" max="7162" width="2.625" style="79" customWidth="1"/>
    <col min="7163" max="7163" width="9.125" style="79" customWidth="1"/>
    <col min="7164" max="7164" width="2.625" style="79" customWidth="1"/>
    <col min="7165" max="7165" width="12" style="79" bestFit="1" customWidth="1"/>
    <col min="7166" max="7166" width="6.625" style="79" customWidth="1"/>
    <col min="7167" max="7167" width="6.375" style="79" customWidth="1"/>
    <col min="7168" max="7171" width="7.25" style="79"/>
    <col min="7172" max="7172" width="2.875" style="79" customWidth="1"/>
    <col min="7173" max="7173" width="10.125" style="79" customWidth="1"/>
    <col min="7174" max="7174" width="6" style="79" customWidth="1"/>
    <col min="7175" max="7175" width="5.875" style="79" customWidth="1"/>
    <col min="7176" max="7176" width="3.5" style="79" customWidth="1"/>
    <col min="7177" max="7177" width="3.875" style="79" customWidth="1"/>
    <col min="7178" max="7178" width="6.125" style="79" customWidth="1"/>
    <col min="7179" max="7179" width="4.125" style="79" customWidth="1"/>
    <col min="7180" max="7181" width="6.25" style="79" customWidth="1"/>
    <col min="7182" max="7182" width="5.25" style="79" customWidth="1"/>
    <col min="7183" max="7183" width="6.5" style="79" customWidth="1"/>
    <col min="7184" max="7184" width="5.625" style="79" customWidth="1"/>
    <col min="7185" max="7185" width="5.125" style="79" customWidth="1"/>
    <col min="7186" max="7186" width="9" style="79" customWidth="1"/>
    <col min="7187" max="7187" width="12.75" style="79" customWidth="1"/>
    <col min="7188" max="7188" width="3.875" style="79" customWidth="1"/>
    <col min="7189" max="7189" width="5.875" style="79" customWidth="1"/>
    <col min="7190" max="7190" width="5.75" style="79" customWidth="1"/>
    <col min="7191" max="7191" width="4.375" style="79" customWidth="1"/>
    <col min="7192" max="7192" width="8.875" style="79" customWidth="1"/>
    <col min="7193" max="7193" width="8.125" style="79" customWidth="1"/>
    <col min="7194" max="7194" width="9.125" style="79" customWidth="1"/>
    <col min="7195" max="7195" width="0" style="79" hidden="1" customWidth="1"/>
    <col min="7196" max="7196" width="5.75" style="79" customWidth="1"/>
    <col min="7197" max="7197" width="3.625" style="79" customWidth="1"/>
    <col min="7198" max="7198" width="7.625" style="79" customWidth="1"/>
    <col min="7199" max="7199" width="9.375" style="79" customWidth="1"/>
    <col min="7200" max="7200" width="0" style="79" hidden="1" customWidth="1"/>
    <col min="7201" max="7201" width="21.375" style="79" customWidth="1"/>
    <col min="7202" max="7202" width="6.25" style="79" customWidth="1"/>
    <col min="7203" max="7203" width="6" style="79" customWidth="1"/>
    <col min="7204" max="7204" width="16" style="79" customWidth="1"/>
    <col min="7205" max="7417" width="9" style="79" customWidth="1"/>
    <col min="7418" max="7418" width="2.625" style="79" customWidth="1"/>
    <col min="7419" max="7419" width="9.125" style="79" customWidth="1"/>
    <col min="7420" max="7420" width="2.625" style="79" customWidth="1"/>
    <col min="7421" max="7421" width="12" style="79" bestFit="1" customWidth="1"/>
    <col min="7422" max="7422" width="6.625" style="79" customWidth="1"/>
    <col min="7423" max="7423" width="6.375" style="79" customWidth="1"/>
    <col min="7424" max="7427" width="7.25" style="79"/>
    <col min="7428" max="7428" width="2.875" style="79" customWidth="1"/>
    <col min="7429" max="7429" width="10.125" style="79" customWidth="1"/>
    <col min="7430" max="7430" width="6" style="79" customWidth="1"/>
    <col min="7431" max="7431" width="5.875" style="79" customWidth="1"/>
    <col min="7432" max="7432" width="3.5" style="79" customWidth="1"/>
    <col min="7433" max="7433" width="3.875" style="79" customWidth="1"/>
    <col min="7434" max="7434" width="6.125" style="79" customWidth="1"/>
    <col min="7435" max="7435" width="4.125" style="79" customWidth="1"/>
    <col min="7436" max="7437" width="6.25" style="79" customWidth="1"/>
    <col min="7438" max="7438" width="5.25" style="79" customWidth="1"/>
    <col min="7439" max="7439" width="6.5" style="79" customWidth="1"/>
    <col min="7440" max="7440" width="5.625" style="79" customWidth="1"/>
    <col min="7441" max="7441" width="5.125" style="79" customWidth="1"/>
    <col min="7442" max="7442" width="9" style="79" customWidth="1"/>
    <col min="7443" max="7443" width="12.75" style="79" customWidth="1"/>
    <col min="7444" max="7444" width="3.875" style="79" customWidth="1"/>
    <col min="7445" max="7445" width="5.875" style="79" customWidth="1"/>
    <col min="7446" max="7446" width="5.75" style="79" customWidth="1"/>
    <col min="7447" max="7447" width="4.375" style="79" customWidth="1"/>
    <col min="7448" max="7448" width="8.875" style="79" customWidth="1"/>
    <col min="7449" max="7449" width="8.125" style="79" customWidth="1"/>
    <col min="7450" max="7450" width="9.125" style="79" customWidth="1"/>
    <col min="7451" max="7451" width="0" style="79" hidden="1" customWidth="1"/>
    <col min="7452" max="7452" width="5.75" style="79" customWidth="1"/>
    <col min="7453" max="7453" width="3.625" style="79" customWidth="1"/>
    <col min="7454" max="7454" width="7.625" style="79" customWidth="1"/>
    <col min="7455" max="7455" width="9.375" style="79" customWidth="1"/>
    <col min="7456" max="7456" width="0" style="79" hidden="1" customWidth="1"/>
    <col min="7457" max="7457" width="21.375" style="79" customWidth="1"/>
    <col min="7458" max="7458" width="6.25" style="79" customWidth="1"/>
    <col min="7459" max="7459" width="6" style="79" customWidth="1"/>
    <col min="7460" max="7460" width="16" style="79" customWidth="1"/>
    <col min="7461" max="7673" width="9" style="79" customWidth="1"/>
    <col min="7674" max="7674" width="2.625" style="79" customWidth="1"/>
    <col min="7675" max="7675" width="9.125" style="79" customWidth="1"/>
    <col min="7676" max="7676" width="2.625" style="79" customWidth="1"/>
    <col min="7677" max="7677" width="12" style="79" bestFit="1" customWidth="1"/>
    <col min="7678" max="7678" width="6.625" style="79" customWidth="1"/>
    <col min="7679" max="7679" width="6.375" style="79" customWidth="1"/>
    <col min="7680" max="7683" width="7.25" style="79"/>
    <col min="7684" max="7684" width="2.875" style="79" customWidth="1"/>
    <col min="7685" max="7685" width="10.125" style="79" customWidth="1"/>
    <col min="7686" max="7686" width="6" style="79" customWidth="1"/>
    <col min="7687" max="7687" width="5.875" style="79" customWidth="1"/>
    <col min="7688" max="7688" width="3.5" style="79" customWidth="1"/>
    <col min="7689" max="7689" width="3.875" style="79" customWidth="1"/>
    <col min="7690" max="7690" width="6.125" style="79" customWidth="1"/>
    <col min="7691" max="7691" width="4.125" style="79" customWidth="1"/>
    <col min="7692" max="7693" width="6.25" style="79" customWidth="1"/>
    <col min="7694" max="7694" width="5.25" style="79" customWidth="1"/>
    <col min="7695" max="7695" width="6.5" style="79" customWidth="1"/>
    <col min="7696" max="7696" width="5.625" style="79" customWidth="1"/>
    <col min="7697" max="7697" width="5.125" style="79" customWidth="1"/>
    <col min="7698" max="7698" width="9" style="79" customWidth="1"/>
    <col min="7699" max="7699" width="12.75" style="79" customWidth="1"/>
    <col min="7700" max="7700" width="3.875" style="79" customWidth="1"/>
    <col min="7701" max="7701" width="5.875" style="79" customWidth="1"/>
    <col min="7702" max="7702" width="5.75" style="79" customWidth="1"/>
    <col min="7703" max="7703" width="4.375" style="79" customWidth="1"/>
    <col min="7704" max="7704" width="8.875" style="79" customWidth="1"/>
    <col min="7705" max="7705" width="8.125" style="79" customWidth="1"/>
    <col min="7706" max="7706" width="9.125" style="79" customWidth="1"/>
    <col min="7707" max="7707" width="0" style="79" hidden="1" customWidth="1"/>
    <col min="7708" max="7708" width="5.75" style="79" customWidth="1"/>
    <col min="7709" max="7709" width="3.625" style="79" customWidth="1"/>
    <col min="7710" max="7710" width="7.625" style="79" customWidth="1"/>
    <col min="7711" max="7711" width="9.375" style="79" customWidth="1"/>
    <col min="7712" max="7712" width="0" style="79" hidden="1" customWidth="1"/>
    <col min="7713" max="7713" width="21.375" style="79" customWidth="1"/>
    <col min="7714" max="7714" width="6.25" style="79" customWidth="1"/>
    <col min="7715" max="7715" width="6" style="79" customWidth="1"/>
    <col min="7716" max="7716" width="16" style="79" customWidth="1"/>
    <col min="7717" max="7929" width="9" style="79" customWidth="1"/>
    <col min="7930" max="7930" width="2.625" style="79" customWidth="1"/>
    <col min="7931" max="7931" width="9.125" style="79" customWidth="1"/>
    <col min="7932" max="7932" width="2.625" style="79" customWidth="1"/>
    <col min="7933" max="7933" width="12" style="79" bestFit="1" customWidth="1"/>
    <col min="7934" max="7934" width="6.625" style="79" customWidth="1"/>
    <col min="7935" max="7935" width="6.375" style="79" customWidth="1"/>
    <col min="7936" max="7939" width="7.25" style="79"/>
    <col min="7940" max="7940" width="2.875" style="79" customWidth="1"/>
    <col min="7941" max="7941" width="10.125" style="79" customWidth="1"/>
    <col min="7942" max="7942" width="6" style="79" customWidth="1"/>
    <col min="7943" max="7943" width="5.875" style="79" customWidth="1"/>
    <col min="7944" max="7944" width="3.5" style="79" customWidth="1"/>
    <col min="7945" max="7945" width="3.875" style="79" customWidth="1"/>
    <col min="7946" max="7946" width="6.125" style="79" customWidth="1"/>
    <col min="7947" max="7947" width="4.125" style="79" customWidth="1"/>
    <col min="7948" max="7949" width="6.25" style="79" customWidth="1"/>
    <col min="7950" max="7950" width="5.25" style="79" customWidth="1"/>
    <col min="7951" max="7951" width="6.5" style="79" customWidth="1"/>
    <col min="7952" max="7952" width="5.625" style="79" customWidth="1"/>
    <col min="7953" max="7953" width="5.125" style="79" customWidth="1"/>
    <col min="7954" max="7954" width="9" style="79" customWidth="1"/>
    <col min="7955" max="7955" width="12.75" style="79" customWidth="1"/>
    <col min="7956" max="7956" width="3.875" style="79" customWidth="1"/>
    <col min="7957" max="7957" width="5.875" style="79" customWidth="1"/>
    <col min="7958" max="7958" width="5.75" style="79" customWidth="1"/>
    <col min="7959" max="7959" width="4.375" style="79" customWidth="1"/>
    <col min="7960" max="7960" width="8.875" style="79" customWidth="1"/>
    <col min="7961" max="7961" width="8.125" style="79" customWidth="1"/>
    <col min="7962" max="7962" width="9.125" style="79" customWidth="1"/>
    <col min="7963" max="7963" width="0" style="79" hidden="1" customWidth="1"/>
    <col min="7964" max="7964" width="5.75" style="79" customWidth="1"/>
    <col min="7965" max="7965" width="3.625" style="79" customWidth="1"/>
    <col min="7966" max="7966" width="7.625" style="79" customWidth="1"/>
    <col min="7967" max="7967" width="9.375" style="79" customWidth="1"/>
    <col min="7968" max="7968" width="0" style="79" hidden="1" customWidth="1"/>
    <col min="7969" max="7969" width="21.375" style="79" customWidth="1"/>
    <col min="7970" max="7970" width="6.25" style="79" customWidth="1"/>
    <col min="7971" max="7971" width="6" style="79" customWidth="1"/>
    <col min="7972" max="7972" width="16" style="79" customWidth="1"/>
    <col min="7973" max="8185" width="9" style="79" customWidth="1"/>
    <col min="8186" max="8186" width="2.625" style="79" customWidth="1"/>
    <col min="8187" max="8187" width="9.125" style="79" customWidth="1"/>
    <col min="8188" max="8188" width="2.625" style="79" customWidth="1"/>
    <col min="8189" max="8189" width="12" style="79" bestFit="1" customWidth="1"/>
    <col min="8190" max="8190" width="6.625" style="79" customWidth="1"/>
    <col min="8191" max="8191" width="6.375" style="79" customWidth="1"/>
    <col min="8192" max="8195" width="7.25" style="79"/>
    <col min="8196" max="8196" width="2.875" style="79" customWidth="1"/>
    <col min="8197" max="8197" width="10.125" style="79" customWidth="1"/>
    <col min="8198" max="8198" width="6" style="79" customWidth="1"/>
    <col min="8199" max="8199" width="5.875" style="79" customWidth="1"/>
    <col min="8200" max="8200" width="3.5" style="79" customWidth="1"/>
    <col min="8201" max="8201" width="3.875" style="79" customWidth="1"/>
    <col min="8202" max="8202" width="6.125" style="79" customWidth="1"/>
    <col min="8203" max="8203" width="4.125" style="79" customWidth="1"/>
    <col min="8204" max="8205" width="6.25" style="79" customWidth="1"/>
    <col min="8206" max="8206" width="5.25" style="79" customWidth="1"/>
    <col min="8207" max="8207" width="6.5" style="79" customWidth="1"/>
    <col min="8208" max="8208" width="5.625" style="79" customWidth="1"/>
    <col min="8209" max="8209" width="5.125" style="79" customWidth="1"/>
    <col min="8210" max="8210" width="9" style="79" customWidth="1"/>
    <col min="8211" max="8211" width="12.75" style="79" customWidth="1"/>
    <col min="8212" max="8212" width="3.875" style="79" customWidth="1"/>
    <col min="8213" max="8213" width="5.875" style="79" customWidth="1"/>
    <col min="8214" max="8214" width="5.75" style="79" customWidth="1"/>
    <col min="8215" max="8215" width="4.375" style="79" customWidth="1"/>
    <col min="8216" max="8216" width="8.875" style="79" customWidth="1"/>
    <col min="8217" max="8217" width="8.125" style="79" customWidth="1"/>
    <col min="8218" max="8218" width="9.125" style="79" customWidth="1"/>
    <col min="8219" max="8219" width="0" style="79" hidden="1" customWidth="1"/>
    <col min="8220" max="8220" width="5.75" style="79" customWidth="1"/>
    <col min="8221" max="8221" width="3.625" style="79" customWidth="1"/>
    <col min="8222" max="8222" width="7.625" style="79" customWidth="1"/>
    <col min="8223" max="8223" width="9.375" style="79" customWidth="1"/>
    <col min="8224" max="8224" width="0" style="79" hidden="1" customWidth="1"/>
    <col min="8225" max="8225" width="21.375" style="79" customWidth="1"/>
    <col min="8226" max="8226" width="6.25" style="79" customWidth="1"/>
    <col min="8227" max="8227" width="6" style="79" customWidth="1"/>
    <col min="8228" max="8228" width="16" style="79" customWidth="1"/>
    <col min="8229" max="8441" width="9" style="79" customWidth="1"/>
    <col min="8442" max="8442" width="2.625" style="79" customWidth="1"/>
    <col min="8443" max="8443" width="9.125" style="79" customWidth="1"/>
    <col min="8444" max="8444" width="2.625" style="79" customWidth="1"/>
    <col min="8445" max="8445" width="12" style="79" bestFit="1" customWidth="1"/>
    <col min="8446" max="8446" width="6.625" style="79" customWidth="1"/>
    <col min="8447" max="8447" width="6.375" style="79" customWidth="1"/>
    <col min="8448" max="8451" width="7.25" style="79"/>
    <col min="8452" max="8452" width="2.875" style="79" customWidth="1"/>
    <col min="8453" max="8453" width="10.125" style="79" customWidth="1"/>
    <col min="8454" max="8454" width="6" style="79" customWidth="1"/>
    <col min="8455" max="8455" width="5.875" style="79" customWidth="1"/>
    <col min="8456" max="8456" width="3.5" style="79" customWidth="1"/>
    <col min="8457" max="8457" width="3.875" style="79" customWidth="1"/>
    <col min="8458" max="8458" width="6.125" style="79" customWidth="1"/>
    <col min="8459" max="8459" width="4.125" style="79" customWidth="1"/>
    <col min="8460" max="8461" width="6.25" style="79" customWidth="1"/>
    <col min="8462" max="8462" width="5.25" style="79" customWidth="1"/>
    <col min="8463" max="8463" width="6.5" style="79" customWidth="1"/>
    <col min="8464" max="8464" width="5.625" style="79" customWidth="1"/>
    <col min="8465" max="8465" width="5.125" style="79" customWidth="1"/>
    <col min="8466" max="8466" width="9" style="79" customWidth="1"/>
    <col min="8467" max="8467" width="12.75" style="79" customWidth="1"/>
    <col min="8468" max="8468" width="3.875" style="79" customWidth="1"/>
    <col min="8469" max="8469" width="5.875" style="79" customWidth="1"/>
    <col min="8470" max="8470" width="5.75" style="79" customWidth="1"/>
    <col min="8471" max="8471" width="4.375" style="79" customWidth="1"/>
    <col min="8472" max="8472" width="8.875" style="79" customWidth="1"/>
    <col min="8473" max="8473" width="8.125" style="79" customWidth="1"/>
    <col min="8474" max="8474" width="9.125" style="79" customWidth="1"/>
    <col min="8475" max="8475" width="0" style="79" hidden="1" customWidth="1"/>
    <col min="8476" max="8476" width="5.75" style="79" customWidth="1"/>
    <col min="8477" max="8477" width="3.625" style="79" customWidth="1"/>
    <col min="8478" max="8478" width="7.625" style="79" customWidth="1"/>
    <col min="8479" max="8479" width="9.375" style="79" customWidth="1"/>
    <col min="8480" max="8480" width="0" style="79" hidden="1" customWidth="1"/>
    <col min="8481" max="8481" width="21.375" style="79" customWidth="1"/>
    <col min="8482" max="8482" width="6.25" style="79" customWidth="1"/>
    <col min="8483" max="8483" width="6" style="79" customWidth="1"/>
    <col min="8484" max="8484" width="16" style="79" customWidth="1"/>
    <col min="8485" max="8697" width="9" style="79" customWidth="1"/>
    <col min="8698" max="8698" width="2.625" style="79" customWidth="1"/>
    <col min="8699" max="8699" width="9.125" style="79" customWidth="1"/>
    <col min="8700" max="8700" width="2.625" style="79" customWidth="1"/>
    <col min="8701" max="8701" width="12" style="79" bestFit="1" customWidth="1"/>
    <col min="8702" max="8702" width="6.625" style="79" customWidth="1"/>
    <col min="8703" max="8703" width="6.375" style="79" customWidth="1"/>
    <col min="8704" max="8707" width="7.25" style="79"/>
    <col min="8708" max="8708" width="2.875" style="79" customWidth="1"/>
    <col min="8709" max="8709" width="10.125" style="79" customWidth="1"/>
    <col min="8710" max="8710" width="6" style="79" customWidth="1"/>
    <col min="8711" max="8711" width="5.875" style="79" customWidth="1"/>
    <col min="8712" max="8712" width="3.5" style="79" customWidth="1"/>
    <col min="8713" max="8713" width="3.875" style="79" customWidth="1"/>
    <col min="8714" max="8714" width="6.125" style="79" customWidth="1"/>
    <col min="8715" max="8715" width="4.125" style="79" customWidth="1"/>
    <col min="8716" max="8717" width="6.25" style="79" customWidth="1"/>
    <col min="8718" max="8718" width="5.25" style="79" customWidth="1"/>
    <col min="8719" max="8719" width="6.5" style="79" customWidth="1"/>
    <col min="8720" max="8720" width="5.625" style="79" customWidth="1"/>
    <col min="8721" max="8721" width="5.125" style="79" customWidth="1"/>
    <col min="8722" max="8722" width="9" style="79" customWidth="1"/>
    <col min="8723" max="8723" width="12.75" style="79" customWidth="1"/>
    <col min="8724" max="8724" width="3.875" style="79" customWidth="1"/>
    <col min="8725" max="8725" width="5.875" style="79" customWidth="1"/>
    <col min="8726" max="8726" width="5.75" style="79" customWidth="1"/>
    <col min="8727" max="8727" width="4.375" style="79" customWidth="1"/>
    <col min="8728" max="8728" width="8.875" style="79" customWidth="1"/>
    <col min="8729" max="8729" width="8.125" style="79" customWidth="1"/>
    <col min="8730" max="8730" width="9.125" style="79" customWidth="1"/>
    <col min="8731" max="8731" width="0" style="79" hidden="1" customWidth="1"/>
    <col min="8732" max="8732" width="5.75" style="79" customWidth="1"/>
    <col min="8733" max="8733" width="3.625" style="79" customWidth="1"/>
    <col min="8734" max="8734" width="7.625" style="79" customWidth="1"/>
    <col min="8735" max="8735" width="9.375" style="79" customWidth="1"/>
    <col min="8736" max="8736" width="0" style="79" hidden="1" customWidth="1"/>
    <col min="8737" max="8737" width="21.375" style="79" customWidth="1"/>
    <col min="8738" max="8738" width="6.25" style="79" customWidth="1"/>
    <col min="8739" max="8739" width="6" style="79" customWidth="1"/>
    <col min="8740" max="8740" width="16" style="79" customWidth="1"/>
    <col min="8741" max="8953" width="9" style="79" customWidth="1"/>
    <col min="8954" max="8954" width="2.625" style="79" customWidth="1"/>
    <col min="8955" max="8955" width="9.125" style="79" customWidth="1"/>
    <col min="8956" max="8956" width="2.625" style="79" customWidth="1"/>
    <col min="8957" max="8957" width="12" style="79" bestFit="1" customWidth="1"/>
    <col min="8958" max="8958" width="6.625" style="79" customWidth="1"/>
    <col min="8959" max="8959" width="6.375" style="79" customWidth="1"/>
    <col min="8960" max="8963" width="7.25" style="79"/>
    <col min="8964" max="8964" width="2.875" style="79" customWidth="1"/>
    <col min="8965" max="8965" width="10.125" style="79" customWidth="1"/>
    <col min="8966" max="8966" width="6" style="79" customWidth="1"/>
    <col min="8967" max="8967" width="5.875" style="79" customWidth="1"/>
    <col min="8968" max="8968" width="3.5" style="79" customWidth="1"/>
    <col min="8969" max="8969" width="3.875" style="79" customWidth="1"/>
    <col min="8970" max="8970" width="6.125" style="79" customWidth="1"/>
    <col min="8971" max="8971" width="4.125" style="79" customWidth="1"/>
    <col min="8972" max="8973" width="6.25" style="79" customWidth="1"/>
    <col min="8974" max="8974" width="5.25" style="79" customWidth="1"/>
    <col min="8975" max="8975" width="6.5" style="79" customWidth="1"/>
    <col min="8976" max="8976" width="5.625" style="79" customWidth="1"/>
    <col min="8977" max="8977" width="5.125" style="79" customWidth="1"/>
    <col min="8978" max="8978" width="9" style="79" customWidth="1"/>
    <col min="8979" max="8979" width="12.75" style="79" customWidth="1"/>
    <col min="8980" max="8980" width="3.875" style="79" customWidth="1"/>
    <col min="8981" max="8981" width="5.875" style="79" customWidth="1"/>
    <col min="8982" max="8982" width="5.75" style="79" customWidth="1"/>
    <col min="8983" max="8983" width="4.375" style="79" customWidth="1"/>
    <col min="8984" max="8984" width="8.875" style="79" customWidth="1"/>
    <col min="8985" max="8985" width="8.125" style="79" customWidth="1"/>
    <col min="8986" max="8986" width="9.125" style="79" customWidth="1"/>
    <col min="8987" max="8987" width="0" style="79" hidden="1" customWidth="1"/>
    <col min="8988" max="8988" width="5.75" style="79" customWidth="1"/>
    <col min="8989" max="8989" width="3.625" style="79" customWidth="1"/>
    <col min="8990" max="8990" width="7.625" style="79" customWidth="1"/>
    <col min="8991" max="8991" width="9.375" style="79" customWidth="1"/>
    <col min="8992" max="8992" width="0" style="79" hidden="1" customWidth="1"/>
    <col min="8993" max="8993" width="21.375" style="79" customWidth="1"/>
    <col min="8994" max="8994" width="6.25" style="79" customWidth="1"/>
    <col min="8995" max="8995" width="6" style="79" customWidth="1"/>
    <col min="8996" max="8996" width="16" style="79" customWidth="1"/>
    <col min="8997" max="9209" width="9" style="79" customWidth="1"/>
    <col min="9210" max="9210" width="2.625" style="79" customWidth="1"/>
    <col min="9211" max="9211" width="9.125" style="79" customWidth="1"/>
    <col min="9212" max="9212" width="2.625" style="79" customWidth="1"/>
    <col min="9213" max="9213" width="12" style="79" bestFit="1" customWidth="1"/>
    <col min="9214" max="9214" width="6.625" style="79" customWidth="1"/>
    <col min="9215" max="9215" width="6.375" style="79" customWidth="1"/>
    <col min="9216" max="9219" width="7.25" style="79"/>
    <col min="9220" max="9220" width="2.875" style="79" customWidth="1"/>
    <col min="9221" max="9221" width="10.125" style="79" customWidth="1"/>
    <col min="9222" max="9222" width="6" style="79" customWidth="1"/>
    <col min="9223" max="9223" width="5.875" style="79" customWidth="1"/>
    <col min="9224" max="9224" width="3.5" style="79" customWidth="1"/>
    <col min="9225" max="9225" width="3.875" style="79" customWidth="1"/>
    <col min="9226" max="9226" width="6.125" style="79" customWidth="1"/>
    <col min="9227" max="9227" width="4.125" style="79" customWidth="1"/>
    <col min="9228" max="9229" width="6.25" style="79" customWidth="1"/>
    <col min="9230" max="9230" width="5.25" style="79" customWidth="1"/>
    <col min="9231" max="9231" width="6.5" style="79" customWidth="1"/>
    <col min="9232" max="9232" width="5.625" style="79" customWidth="1"/>
    <col min="9233" max="9233" width="5.125" style="79" customWidth="1"/>
    <col min="9234" max="9234" width="9" style="79" customWidth="1"/>
    <col min="9235" max="9235" width="12.75" style="79" customWidth="1"/>
    <col min="9236" max="9236" width="3.875" style="79" customWidth="1"/>
    <col min="9237" max="9237" width="5.875" style="79" customWidth="1"/>
    <col min="9238" max="9238" width="5.75" style="79" customWidth="1"/>
    <col min="9239" max="9239" width="4.375" style="79" customWidth="1"/>
    <col min="9240" max="9240" width="8.875" style="79" customWidth="1"/>
    <col min="9241" max="9241" width="8.125" style="79" customWidth="1"/>
    <col min="9242" max="9242" width="9.125" style="79" customWidth="1"/>
    <col min="9243" max="9243" width="0" style="79" hidden="1" customWidth="1"/>
    <col min="9244" max="9244" width="5.75" style="79" customWidth="1"/>
    <col min="9245" max="9245" width="3.625" style="79" customWidth="1"/>
    <col min="9246" max="9246" width="7.625" style="79" customWidth="1"/>
    <col min="9247" max="9247" width="9.375" style="79" customWidth="1"/>
    <col min="9248" max="9248" width="0" style="79" hidden="1" customWidth="1"/>
    <col min="9249" max="9249" width="21.375" style="79" customWidth="1"/>
    <col min="9250" max="9250" width="6.25" style="79" customWidth="1"/>
    <col min="9251" max="9251" width="6" style="79" customWidth="1"/>
    <col min="9252" max="9252" width="16" style="79" customWidth="1"/>
    <col min="9253" max="9465" width="9" style="79" customWidth="1"/>
    <col min="9466" max="9466" width="2.625" style="79" customWidth="1"/>
    <col min="9467" max="9467" width="9.125" style="79" customWidth="1"/>
    <col min="9468" max="9468" width="2.625" style="79" customWidth="1"/>
    <col min="9469" max="9469" width="12" style="79" bestFit="1" customWidth="1"/>
    <col min="9470" max="9470" width="6.625" style="79" customWidth="1"/>
    <col min="9471" max="9471" width="6.375" style="79" customWidth="1"/>
    <col min="9472" max="9475" width="7.25" style="79"/>
    <col min="9476" max="9476" width="2.875" style="79" customWidth="1"/>
    <col min="9477" max="9477" width="10.125" style="79" customWidth="1"/>
    <col min="9478" max="9478" width="6" style="79" customWidth="1"/>
    <col min="9479" max="9479" width="5.875" style="79" customWidth="1"/>
    <col min="9480" max="9480" width="3.5" style="79" customWidth="1"/>
    <col min="9481" max="9481" width="3.875" style="79" customWidth="1"/>
    <col min="9482" max="9482" width="6.125" style="79" customWidth="1"/>
    <col min="9483" max="9483" width="4.125" style="79" customWidth="1"/>
    <col min="9484" max="9485" width="6.25" style="79" customWidth="1"/>
    <col min="9486" max="9486" width="5.25" style="79" customWidth="1"/>
    <col min="9487" max="9487" width="6.5" style="79" customWidth="1"/>
    <col min="9488" max="9488" width="5.625" style="79" customWidth="1"/>
    <col min="9489" max="9489" width="5.125" style="79" customWidth="1"/>
    <col min="9490" max="9490" width="9" style="79" customWidth="1"/>
    <col min="9491" max="9491" width="12.75" style="79" customWidth="1"/>
    <col min="9492" max="9492" width="3.875" style="79" customWidth="1"/>
    <col min="9493" max="9493" width="5.875" style="79" customWidth="1"/>
    <col min="9494" max="9494" width="5.75" style="79" customWidth="1"/>
    <col min="9495" max="9495" width="4.375" style="79" customWidth="1"/>
    <col min="9496" max="9496" width="8.875" style="79" customWidth="1"/>
    <col min="9497" max="9497" width="8.125" style="79" customWidth="1"/>
    <col min="9498" max="9498" width="9.125" style="79" customWidth="1"/>
    <col min="9499" max="9499" width="0" style="79" hidden="1" customWidth="1"/>
    <col min="9500" max="9500" width="5.75" style="79" customWidth="1"/>
    <col min="9501" max="9501" width="3.625" style="79" customWidth="1"/>
    <col min="9502" max="9502" width="7.625" style="79" customWidth="1"/>
    <col min="9503" max="9503" width="9.375" style="79" customWidth="1"/>
    <col min="9504" max="9504" width="0" style="79" hidden="1" customWidth="1"/>
    <col min="9505" max="9505" width="21.375" style="79" customWidth="1"/>
    <col min="9506" max="9506" width="6.25" style="79" customWidth="1"/>
    <col min="9507" max="9507" width="6" style="79" customWidth="1"/>
    <col min="9508" max="9508" width="16" style="79" customWidth="1"/>
    <col min="9509" max="9721" width="9" style="79" customWidth="1"/>
    <col min="9722" max="9722" width="2.625" style="79" customWidth="1"/>
    <col min="9723" max="9723" width="9.125" style="79" customWidth="1"/>
    <col min="9724" max="9724" width="2.625" style="79" customWidth="1"/>
    <col min="9725" max="9725" width="12" style="79" bestFit="1" customWidth="1"/>
    <col min="9726" max="9726" width="6.625" style="79" customWidth="1"/>
    <col min="9727" max="9727" width="6.375" style="79" customWidth="1"/>
    <col min="9728" max="9731" width="7.25" style="79"/>
    <col min="9732" max="9732" width="2.875" style="79" customWidth="1"/>
    <col min="9733" max="9733" width="10.125" style="79" customWidth="1"/>
    <col min="9734" max="9734" width="6" style="79" customWidth="1"/>
    <col min="9735" max="9735" width="5.875" style="79" customWidth="1"/>
    <col min="9736" max="9736" width="3.5" style="79" customWidth="1"/>
    <col min="9737" max="9737" width="3.875" style="79" customWidth="1"/>
    <col min="9738" max="9738" width="6.125" style="79" customWidth="1"/>
    <col min="9739" max="9739" width="4.125" style="79" customWidth="1"/>
    <col min="9740" max="9741" width="6.25" style="79" customWidth="1"/>
    <col min="9742" max="9742" width="5.25" style="79" customWidth="1"/>
    <col min="9743" max="9743" width="6.5" style="79" customWidth="1"/>
    <col min="9744" max="9744" width="5.625" style="79" customWidth="1"/>
    <col min="9745" max="9745" width="5.125" style="79" customWidth="1"/>
    <col min="9746" max="9746" width="9" style="79" customWidth="1"/>
    <col min="9747" max="9747" width="12.75" style="79" customWidth="1"/>
    <col min="9748" max="9748" width="3.875" style="79" customWidth="1"/>
    <col min="9749" max="9749" width="5.875" style="79" customWidth="1"/>
    <col min="9750" max="9750" width="5.75" style="79" customWidth="1"/>
    <col min="9751" max="9751" width="4.375" style="79" customWidth="1"/>
    <col min="9752" max="9752" width="8.875" style="79" customWidth="1"/>
    <col min="9753" max="9753" width="8.125" style="79" customWidth="1"/>
    <col min="9754" max="9754" width="9.125" style="79" customWidth="1"/>
    <col min="9755" max="9755" width="0" style="79" hidden="1" customWidth="1"/>
    <col min="9756" max="9756" width="5.75" style="79" customWidth="1"/>
    <col min="9757" max="9757" width="3.625" style="79" customWidth="1"/>
    <col min="9758" max="9758" width="7.625" style="79" customWidth="1"/>
    <col min="9759" max="9759" width="9.375" style="79" customWidth="1"/>
    <col min="9760" max="9760" width="0" style="79" hidden="1" customWidth="1"/>
    <col min="9761" max="9761" width="21.375" style="79" customWidth="1"/>
    <col min="9762" max="9762" width="6.25" style="79" customWidth="1"/>
    <col min="9763" max="9763" width="6" style="79" customWidth="1"/>
    <col min="9764" max="9764" width="16" style="79" customWidth="1"/>
    <col min="9765" max="9977" width="9" style="79" customWidth="1"/>
    <col min="9978" max="9978" width="2.625" style="79" customWidth="1"/>
    <col min="9979" max="9979" width="9.125" style="79" customWidth="1"/>
    <col min="9980" max="9980" width="2.625" style="79" customWidth="1"/>
    <col min="9981" max="9981" width="12" style="79" bestFit="1" customWidth="1"/>
    <col min="9982" max="9982" width="6.625" style="79" customWidth="1"/>
    <col min="9983" max="9983" width="6.375" style="79" customWidth="1"/>
    <col min="9984" max="9987" width="7.25" style="79"/>
    <col min="9988" max="9988" width="2.875" style="79" customWidth="1"/>
    <col min="9989" max="9989" width="10.125" style="79" customWidth="1"/>
    <col min="9990" max="9990" width="6" style="79" customWidth="1"/>
    <col min="9991" max="9991" width="5.875" style="79" customWidth="1"/>
    <col min="9992" max="9992" width="3.5" style="79" customWidth="1"/>
    <col min="9993" max="9993" width="3.875" style="79" customWidth="1"/>
    <col min="9994" max="9994" width="6.125" style="79" customWidth="1"/>
    <col min="9995" max="9995" width="4.125" style="79" customWidth="1"/>
    <col min="9996" max="9997" width="6.25" style="79" customWidth="1"/>
    <col min="9998" max="9998" width="5.25" style="79" customWidth="1"/>
    <col min="9999" max="9999" width="6.5" style="79" customWidth="1"/>
    <col min="10000" max="10000" width="5.625" style="79" customWidth="1"/>
    <col min="10001" max="10001" width="5.125" style="79" customWidth="1"/>
    <col min="10002" max="10002" width="9" style="79" customWidth="1"/>
    <col min="10003" max="10003" width="12.75" style="79" customWidth="1"/>
    <col min="10004" max="10004" width="3.875" style="79" customWidth="1"/>
    <col min="10005" max="10005" width="5.875" style="79" customWidth="1"/>
    <col min="10006" max="10006" width="5.75" style="79" customWidth="1"/>
    <col min="10007" max="10007" width="4.375" style="79" customWidth="1"/>
    <col min="10008" max="10008" width="8.875" style="79" customWidth="1"/>
    <col min="10009" max="10009" width="8.125" style="79" customWidth="1"/>
    <col min="10010" max="10010" width="9.125" style="79" customWidth="1"/>
    <col min="10011" max="10011" width="0" style="79" hidden="1" customWidth="1"/>
    <col min="10012" max="10012" width="5.75" style="79" customWidth="1"/>
    <col min="10013" max="10013" width="3.625" style="79" customWidth="1"/>
    <col min="10014" max="10014" width="7.625" style="79" customWidth="1"/>
    <col min="10015" max="10015" width="9.375" style="79" customWidth="1"/>
    <col min="10016" max="10016" width="0" style="79" hidden="1" customWidth="1"/>
    <col min="10017" max="10017" width="21.375" style="79" customWidth="1"/>
    <col min="10018" max="10018" width="6.25" style="79" customWidth="1"/>
    <col min="10019" max="10019" width="6" style="79" customWidth="1"/>
    <col min="10020" max="10020" width="16" style="79" customWidth="1"/>
    <col min="10021" max="10233" width="9" style="79" customWidth="1"/>
    <col min="10234" max="10234" width="2.625" style="79" customWidth="1"/>
    <col min="10235" max="10235" width="9.125" style="79" customWidth="1"/>
    <col min="10236" max="10236" width="2.625" style="79" customWidth="1"/>
    <col min="10237" max="10237" width="12" style="79" bestFit="1" customWidth="1"/>
    <col min="10238" max="10238" width="6.625" style="79" customWidth="1"/>
    <col min="10239" max="10239" width="6.375" style="79" customWidth="1"/>
    <col min="10240" max="10243" width="7.25" style="79"/>
    <col min="10244" max="10244" width="2.875" style="79" customWidth="1"/>
    <col min="10245" max="10245" width="10.125" style="79" customWidth="1"/>
    <col min="10246" max="10246" width="6" style="79" customWidth="1"/>
    <col min="10247" max="10247" width="5.875" style="79" customWidth="1"/>
    <col min="10248" max="10248" width="3.5" style="79" customWidth="1"/>
    <col min="10249" max="10249" width="3.875" style="79" customWidth="1"/>
    <col min="10250" max="10250" width="6.125" style="79" customWidth="1"/>
    <col min="10251" max="10251" width="4.125" style="79" customWidth="1"/>
    <col min="10252" max="10253" width="6.25" style="79" customWidth="1"/>
    <col min="10254" max="10254" width="5.25" style="79" customWidth="1"/>
    <col min="10255" max="10255" width="6.5" style="79" customWidth="1"/>
    <col min="10256" max="10256" width="5.625" style="79" customWidth="1"/>
    <col min="10257" max="10257" width="5.125" style="79" customWidth="1"/>
    <col min="10258" max="10258" width="9" style="79" customWidth="1"/>
    <col min="10259" max="10259" width="12.75" style="79" customWidth="1"/>
    <col min="10260" max="10260" width="3.875" style="79" customWidth="1"/>
    <col min="10261" max="10261" width="5.875" style="79" customWidth="1"/>
    <col min="10262" max="10262" width="5.75" style="79" customWidth="1"/>
    <col min="10263" max="10263" width="4.375" style="79" customWidth="1"/>
    <col min="10264" max="10264" width="8.875" style="79" customWidth="1"/>
    <col min="10265" max="10265" width="8.125" style="79" customWidth="1"/>
    <col min="10266" max="10266" width="9.125" style="79" customWidth="1"/>
    <col min="10267" max="10267" width="0" style="79" hidden="1" customWidth="1"/>
    <col min="10268" max="10268" width="5.75" style="79" customWidth="1"/>
    <col min="10269" max="10269" width="3.625" style="79" customWidth="1"/>
    <col min="10270" max="10270" width="7.625" style="79" customWidth="1"/>
    <col min="10271" max="10271" width="9.375" style="79" customWidth="1"/>
    <col min="10272" max="10272" width="0" style="79" hidden="1" customWidth="1"/>
    <col min="10273" max="10273" width="21.375" style="79" customWidth="1"/>
    <col min="10274" max="10274" width="6.25" style="79" customWidth="1"/>
    <col min="10275" max="10275" width="6" style="79" customWidth="1"/>
    <col min="10276" max="10276" width="16" style="79" customWidth="1"/>
    <col min="10277" max="10489" width="9" style="79" customWidth="1"/>
    <col min="10490" max="10490" width="2.625" style="79" customWidth="1"/>
    <col min="10491" max="10491" width="9.125" style="79" customWidth="1"/>
    <col min="10492" max="10492" width="2.625" style="79" customWidth="1"/>
    <col min="10493" max="10493" width="12" style="79" bestFit="1" customWidth="1"/>
    <col min="10494" max="10494" width="6.625" style="79" customWidth="1"/>
    <col min="10495" max="10495" width="6.375" style="79" customWidth="1"/>
    <col min="10496" max="10499" width="7.25" style="79"/>
    <col min="10500" max="10500" width="2.875" style="79" customWidth="1"/>
    <col min="10501" max="10501" width="10.125" style="79" customWidth="1"/>
    <col min="10502" max="10502" width="6" style="79" customWidth="1"/>
    <col min="10503" max="10503" width="5.875" style="79" customWidth="1"/>
    <col min="10504" max="10504" width="3.5" style="79" customWidth="1"/>
    <col min="10505" max="10505" width="3.875" style="79" customWidth="1"/>
    <col min="10506" max="10506" width="6.125" style="79" customWidth="1"/>
    <col min="10507" max="10507" width="4.125" style="79" customWidth="1"/>
    <col min="10508" max="10509" width="6.25" style="79" customWidth="1"/>
    <col min="10510" max="10510" width="5.25" style="79" customWidth="1"/>
    <col min="10511" max="10511" width="6.5" style="79" customWidth="1"/>
    <col min="10512" max="10512" width="5.625" style="79" customWidth="1"/>
    <col min="10513" max="10513" width="5.125" style="79" customWidth="1"/>
    <col min="10514" max="10514" width="9" style="79" customWidth="1"/>
    <col min="10515" max="10515" width="12.75" style="79" customWidth="1"/>
    <col min="10516" max="10516" width="3.875" style="79" customWidth="1"/>
    <col min="10517" max="10517" width="5.875" style="79" customWidth="1"/>
    <col min="10518" max="10518" width="5.75" style="79" customWidth="1"/>
    <col min="10519" max="10519" width="4.375" style="79" customWidth="1"/>
    <col min="10520" max="10520" width="8.875" style="79" customWidth="1"/>
    <col min="10521" max="10521" width="8.125" style="79" customWidth="1"/>
    <col min="10522" max="10522" width="9.125" style="79" customWidth="1"/>
    <col min="10523" max="10523" width="0" style="79" hidden="1" customWidth="1"/>
    <col min="10524" max="10524" width="5.75" style="79" customWidth="1"/>
    <col min="10525" max="10525" width="3.625" style="79" customWidth="1"/>
    <col min="10526" max="10526" width="7.625" style="79" customWidth="1"/>
    <col min="10527" max="10527" width="9.375" style="79" customWidth="1"/>
    <col min="10528" max="10528" width="0" style="79" hidden="1" customWidth="1"/>
    <col min="10529" max="10529" width="21.375" style="79" customWidth="1"/>
    <col min="10530" max="10530" width="6.25" style="79" customWidth="1"/>
    <col min="10531" max="10531" width="6" style="79" customWidth="1"/>
    <col min="10532" max="10532" width="16" style="79" customWidth="1"/>
    <col min="10533" max="10745" width="9" style="79" customWidth="1"/>
    <col min="10746" max="10746" width="2.625" style="79" customWidth="1"/>
    <col min="10747" max="10747" width="9.125" style="79" customWidth="1"/>
    <col min="10748" max="10748" width="2.625" style="79" customWidth="1"/>
    <col min="10749" max="10749" width="12" style="79" bestFit="1" customWidth="1"/>
    <col min="10750" max="10750" width="6.625" style="79" customWidth="1"/>
    <col min="10751" max="10751" width="6.375" style="79" customWidth="1"/>
    <col min="10752" max="10755" width="7.25" style="79"/>
    <col min="10756" max="10756" width="2.875" style="79" customWidth="1"/>
    <col min="10757" max="10757" width="10.125" style="79" customWidth="1"/>
    <col min="10758" max="10758" width="6" style="79" customWidth="1"/>
    <col min="10759" max="10759" width="5.875" style="79" customWidth="1"/>
    <col min="10760" max="10760" width="3.5" style="79" customWidth="1"/>
    <col min="10761" max="10761" width="3.875" style="79" customWidth="1"/>
    <col min="10762" max="10762" width="6.125" style="79" customWidth="1"/>
    <col min="10763" max="10763" width="4.125" style="79" customWidth="1"/>
    <col min="10764" max="10765" width="6.25" style="79" customWidth="1"/>
    <col min="10766" max="10766" width="5.25" style="79" customWidth="1"/>
    <col min="10767" max="10767" width="6.5" style="79" customWidth="1"/>
    <col min="10768" max="10768" width="5.625" style="79" customWidth="1"/>
    <col min="10769" max="10769" width="5.125" style="79" customWidth="1"/>
    <col min="10770" max="10770" width="9" style="79" customWidth="1"/>
    <col min="10771" max="10771" width="12.75" style="79" customWidth="1"/>
    <col min="10772" max="10772" width="3.875" style="79" customWidth="1"/>
    <col min="10773" max="10773" width="5.875" style="79" customWidth="1"/>
    <col min="10774" max="10774" width="5.75" style="79" customWidth="1"/>
    <col min="10775" max="10775" width="4.375" style="79" customWidth="1"/>
    <col min="10776" max="10776" width="8.875" style="79" customWidth="1"/>
    <col min="10777" max="10777" width="8.125" style="79" customWidth="1"/>
    <col min="10778" max="10778" width="9.125" style="79" customWidth="1"/>
    <col min="10779" max="10779" width="0" style="79" hidden="1" customWidth="1"/>
    <col min="10780" max="10780" width="5.75" style="79" customWidth="1"/>
    <col min="10781" max="10781" width="3.625" style="79" customWidth="1"/>
    <col min="10782" max="10782" width="7.625" style="79" customWidth="1"/>
    <col min="10783" max="10783" width="9.375" style="79" customWidth="1"/>
    <col min="10784" max="10784" width="0" style="79" hidden="1" customWidth="1"/>
    <col min="10785" max="10785" width="21.375" style="79" customWidth="1"/>
    <col min="10786" max="10786" width="6.25" style="79" customWidth="1"/>
    <col min="10787" max="10787" width="6" style="79" customWidth="1"/>
    <col min="10788" max="10788" width="16" style="79" customWidth="1"/>
    <col min="10789" max="11001" width="9" style="79" customWidth="1"/>
    <col min="11002" max="11002" width="2.625" style="79" customWidth="1"/>
    <col min="11003" max="11003" width="9.125" style="79" customWidth="1"/>
    <col min="11004" max="11004" width="2.625" style="79" customWidth="1"/>
    <col min="11005" max="11005" width="12" style="79" bestFit="1" customWidth="1"/>
    <col min="11006" max="11006" width="6.625" style="79" customWidth="1"/>
    <col min="11007" max="11007" width="6.375" style="79" customWidth="1"/>
    <col min="11008" max="11011" width="7.25" style="79"/>
    <col min="11012" max="11012" width="2.875" style="79" customWidth="1"/>
    <col min="11013" max="11013" width="10.125" style="79" customWidth="1"/>
    <col min="11014" max="11014" width="6" style="79" customWidth="1"/>
    <col min="11015" max="11015" width="5.875" style="79" customWidth="1"/>
    <col min="11016" max="11016" width="3.5" style="79" customWidth="1"/>
    <col min="11017" max="11017" width="3.875" style="79" customWidth="1"/>
    <col min="11018" max="11018" width="6.125" style="79" customWidth="1"/>
    <col min="11019" max="11019" width="4.125" style="79" customWidth="1"/>
    <col min="11020" max="11021" width="6.25" style="79" customWidth="1"/>
    <col min="11022" max="11022" width="5.25" style="79" customWidth="1"/>
    <col min="11023" max="11023" width="6.5" style="79" customWidth="1"/>
    <col min="11024" max="11024" width="5.625" style="79" customWidth="1"/>
    <col min="11025" max="11025" width="5.125" style="79" customWidth="1"/>
    <col min="11026" max="11026" width="9" style="79" customWidth="1"/>
    <col min="11027" max="11027" width="12.75" style="79" customWidth="1"/>
    <col min="11028" max="11028" width="3.875" style="79" customWidth="1"/>
    <col min="11029" max="11029" width="5.875" style="79" customWidth="1"/>
    <col min="11030" max="11030" width="5.75" style="79" customWidth="1"/>
    <col min="11031" max="11031" width="4.375" style="79" customWidth="1"/>
    <col min="11032" max="11032" width="8.875" style="79" customWidth="1"/>
    <col min="11033" max="11033" width="8.125" style="79" customWidth="1"/>
    <col min="11034" max="11034" width="9.125" style="79" customWidth="1"/>
    <col min="11035" max="11035" width="0" style="79" hidden="1" customWidth="1"/>
    <col min="11036" max="11036" width="5.75" style="79" customWidth="1"/>
    <col min="11037" max="11037" width="3.625" style="79" customWidth="1"/>
    <col min="11038" max="11038" width="7.625" style="79" customWidth="1"/>
    <col min="11039" max="11039" width="9.375" style="79" customWidth="1"/>
    <col min="11040" max="11040" width="0" style="79" hidden="1" customWidth="1"/>
    <col min="11041" max="11041" width="21.375" style="79" customWidth="1"/>
    <col min="11042" max="11042" width="6.25" style="79" customWidth="1"/>
    <col min="11043" max="11043" width="6" style="79" customWidth="1"/>
    <col min="11044" max="11044" width="16" style="79" customWidth="1"/>
    <col min="11045" max="11257" width="9" style="79" customWidth="1"/>
    <col min="11258" max="11258" width="2.625" style="79" customWidth="1"/>
    <col min="11259" max="11259" width="9.125" style="79" customWidth="1"/>
    <col min="11260" max="11260" width="2.625" style="79" customWidth="1"/>
    <col min="11261" max="11261" width="12" style="79" bestFit="1" customWidth="1"/>
    <col min="11262" max="11262" width="6.625" style="79" customWidth="1"/>
    <col min="11263" max="11263" width="6.375" style="79" customWidth="1"/>
    <col min="11264" max="11267" width="7.25" style="79"/>
    <col min="11268" max="11268" width="2.875" style="79" customWidth="1"/>
    <col min="11269" max="11269" width="10.125" style="79" customWidth="1"/>
    <col min="11270" max="11270" width="6" style="79" customWidth="1"/>
    <col min="11271" max="11271" width="5.875" style="79" customWidth="1"/>
    <col min="11272" max="11272" width="3.5" style="79" customWidth="1"/>
    <col min="11273" max="11273" width="3.875" style="79" customWidth="1"/>
    <col min="11274" max="11274" width="6.125" style="79" customWidth="1"/>
    <col min="11275" max="11275" width="4.125" style="79" customWidth="1"/>
    <col min="11276" max="11277" width="6.25" style="79" customWidth="1"/>
    <col min="11278" max="11278" width="5.25" style="79" customWidth="1"/>
    <col min="11279" max="11279" width="6.5" style="79" customWidth="1"/>
    <col min="11280" max="11280" width="5.625" style="79" customWidth="1"/>
    <col min="11281" max="11281" width="5.125" style="79" customWidth="1"/>
    <col min="11282" max="11282" width="9" style="79" customWidth="1"/>
    <col min="11283" max="11283" width="12.75" style="79" customWidth="1"/>
    <col min="11284" max="11284" width="3.875" style="79" customWidth="1"/>
    <col min="11285" max="11285" width="5.875" style="79" customWidth="1"/>
    <col min="11286" max="11286" width="5.75" style="79" customWidth="1"/>
    <col min="11287" max="11287" width="4.375" style="79" customWidth="1"/>
    <col min="11288" max="11288" width="8.875" style="79" customWidth="1"/>
    <col min="11289" max="11289" width="8.125" style="79" customWidth="1"/>
    <col min="11290" max="11290" width="9.125" style="79" customWidth="1"/>
    <col min="11291" max="11291" width="0" style="79" hidden="1" customWidth="1"/>
    <col min="11292" max="11292" width="5.75" style="79" customWidth="1"/>
    <col min="11293" max="11293" width="3.625" style="79" customWidth="1"/>
    <col min="11294" max="11294" width="7.625" style="79" customWidth="1"/>
    <col min="11295" max="11295" width="9.375" style="79" customWidth="1"/>
    <col min="11296" max="11296" width="0" style="79" hidden="1" customWidth="1"/>
    <col min="11297" max="11297" width="21.375" style="79" customWidth="1"/>
    <col min="11298" max="11298" width="6.25" style="79" customWidth="1"/>
    <col min="11299" max="11299" width="6" style="79" customWidth="1"/>
    <col min="11300" max="11300" width="16" style="79" customWidth="1"/>
    <col min="11301" max="11513" width="9" style="79" customWidth="1"/>
    <col min="11514" max="11514" width="2.625" style="79" customWidth="1"/>
    <col min="11515" max="11515" width="9.125" style="79" customWidth="1"/>
    <col min="11516" max="11516" width="2.625" style="79" customWidth="1"/>
    <col min="11517" max="11517" width="12" style="79" bestFit="1" customWidth="1"/>
    <col min="11518" max="11518" width="6.625" style="79" customWidth="1"/>
    <col min="11519" max="11519" width="6.375" style="79" customWidth="1"/>
    <col min="11520" max="11523" width="7.25" style="79"/>
    <col min="11524" max="11524" width="2.875" style="79" customWidth="1"/>
    <col min="11525" max="11525" width="10.125" style="79" customWidth="1"/>
    <col min="11526" max="11526" width="6" style="79" customWidth="1"/>
    <col min="11527" max="11527" width="5.875" style="79" customWidth="1"/>
    <col min="11528" max="11528" width="3.5" style="79" customWidth="1"/>
    <col min="11529" max="11529" width="3.875" style="79" customWidth="1"/>
    <col min="11530" max="11530" width="6.125" style="79" customWidth="1"/>
    <col min="11531" max="11531" width="4.125" style="79" customWidth="1"/>
    <col min="11532" max="11533" width="6.25" style="79" customWidth="1"/>
    <col min="11534" max="11534" width="5.25" style="79" customWidth="1"/>
    <col min="11535" max="11535" width="6.5" style="79" customWidth="1"/>
    <col min="11536" max="11536" width="5.625" style="79" customWidth="1"/>
    <col min="11537" max="11537" width="5.125" style="79" customWidth="1"/>
    <col min="11538" max="11538" width="9" style="79" customWidth="1"/>
    <col min="11539" max="11539" width="12.75" style="79" customWidth="1"/>
    <col min="11540" max="11540" width="3.875" style="79" customWidth="1"/>
    <col min="11541" max="11541" width="5.875" style="79" customWidth="1"/>
    <col min="11542" max="11542" width="5.75" style="79" customWidth="1"/>
    <col min="11543" max="11543" width="4.375" style="79" customWidth="1"/>
    <col min="11544" max="11544" width="8.875" style="79" customWidth="1"/>
    <col min="11545" max="11545" width="8.125" style="79" customWidth="1"/>
    <col min="11546" max="11546" width="9.125" style="79" customWidth="1"/>
    <col min="11547" max="11547" width="0" style="79" hidden="1" customWidth="1"/>
    <col min="11548" max="11548" width="5.75" style="79" customWidth="1"/>
    <col min="11549" max="11549" width="3.625" style="79" customWidth="1"/>
    <col min="11550" max="11550" width="7.625" style="79" customWidth="1"/>
    <col min="11551" max="11551" width="9.375" style="79" customWidth="1"/>
    <col min="11552" max="11552" width="0" style="79" hidden="1" customWidth="1"/>
    <col min="11553" max="11553" width="21.375" style="79" customWidth="1"/>
    <col min="11554" max="11554" width="6.25" style="79" customWidth="1"/>
    <col min="11555" max="11555" width="6" style="79" customWidth="1"/>
    <col min="11556" max="11556" width="16" style="79" customWidth="1"/>
    <col min="11557" max="11769" width="9" style="79" customWidth="1"/>
    <col min="11770" max="11770" width="2.625" style="79" customWidth="1"/>
    <col min="11771" max="11771" width="9.125" style="79" customWidth="1"/>
    <col min="11772" max="11772" width="2.625" style="79" customWidth="1"/>
    <col min="11773" max="11773" width="12" style="79" bestFit="1" customWidth="1"/>
    <col min="11774" max="11774" width="6.625" style="79" customWidth="1"/>
    <col min="11775" max="11775" width="6.375" style="79" customWidth="1"/>
    <col min="11776" max="11779" width="7.25" style="79"/>
    <col min="11780" max="11780" width="2.875" style="79" customWidth="1"/>
    <col min="11781" max="11781" width="10.125" style="79" customWidth="1"/>
    <col min="11782" max="11782" width="6" style="79" customWidth="1"/>
    <col min="11783" max="11783" width="5.875" style="79" customWidth="1"/>
    <col min="11784" max="11784" width="3.5" style="79" customWidth="1"/>
    <col min="11785" max="11785" width="3.875" style="79" customWidth="1"/>
    <col min="11786" max="11786" width="6.125" style="79" customWidth="1"/>
    <col min="11787" max="11787" width="4.125" style="79" customWidth="1"/>
    <col min="11788" max="11789" width="6.25" style="79" customWidth="1"/>
    <col min="11790" max="11790" width="5.25" style="79" customWidth="1"/>
    <col min="11791" max="11791" width="6.5" style="79" customWidth="1"/>
    <col min="11792" max="11792" width="5.625" style="79" customWidth="1"/>
    <col min="11793" max="11793" width="5.125" style="79" customWidth="1"/>
    <col min="11794" max="11794" width="9" style="79" customWidth="1"/>
    <col min="11795" max="11795" width="12.75" style="79" customWidth="1"/>
    <col min="11796" max="11796" width="3.875" style="79" customWidth="1"/>
    <col min="11797" max="11797" width="5.875" style="79" customWidth="1"/>
    <col min="11798" max="11798" width="5.75" style="79" customWidth="1"/>
    <col min="11799" max="11799" width="4.375" style="79" customWidth="1"/>
    <col min="11800" max="11800" width="8.875" style="79" customWidth="1"/>
    <col min="11801" max="11801" width="8.125" style="79" customWidth="1"/>
    <col min="11802" max="11802" width="9.125" style="79" customWidth="1"/>
    <col min="11803" max="11803" width="0" style="79" hidden="1" customWidth="1"/>
    <col min="11804" max="11804" width="5.75" style="79" customWidth="1"/>
    <col min="11805" max="11805" width="3.625" style="79" customWidth="1"/>
    <col min="11806" max="11806" width="7.625" style="79" customWidth="1"/>
    <col min="11807" max="11807" width="9.375" style="79" customWidth="1"/>
    <col min="11808" max="11808" width="0" style="79" hidden="1" customWidth="1"/>
    <col min="11809" max="11809" width="21.375" style="79" customWidth="1"/>
    <col min="11810" max="11810" width="6.25" style="79" customWidth="1"/>
    <col min="11811" max="11811" width="6" style="79" customWidth="1"/>
    <col min="11812" max="11812" width="16" style="79" customWidth="1"/>
    <col min="11813" max="12025" width="9" style="79" customWidth="1"/>
    <col min="12026" max="12026" width="2.625" style="79" customWidth="1"/>
    <col min="12027" max="12027" width="9.125" style="79" customWidth="1"/>
    <col min="12028" max="12028" width="2.625" style="79" customWidth="1"/>
    <col min="12029" max="12029" width="12" style="79" bestFit="1" customWidth="1"/>
    <col min="12030" max="12030" width="6.625" style="79" customWidth="1"/>
    <col min="12031" max="12031" width="6.375" style="79" customWidth="1"/>
    <col min="12032" max="12035" width="7.25" style="79"/>
    <col min="12036" max="12036" width="2.875" style="79" customWidth="1"/>
    <col min="12037" max="12037" width="10.125" style="79" customWidth="1"/>
    <col min="12038" max="12038" width="6" style="79" customWidth="1"/>
    <col min="12039" max="12039" width="5.875" style="79" customWidth="1"/>
    <col min="12040" max="12040" width="3.5" style="79" customWidth="1"/>
    <col min="12041" max="12041" width="3.875" style="79" customWidth="1"/>
    <col min="12042" max="12042" width="6.125" style="79" customWidth="1"/>
    <col min="12043" max="12043" width="4.125" style="79" customWidth="1"/>
    <col min="12044" max="12045" width="6.25" style="79" customWidth="1"/>
    <col min="12046" max="12046" width="5.25" style="79" customWidth="1"/>
    <col min="12047" max="12047" width="6.5" style="79" customWidth="1"/>
    <col min="12048" max="12048" width="5.625" style="79" customWidth="1"/>
    <col min="12049" max="12049" width="5.125" style="79" customWidth="1"/>
    <col min="12050" max="12050" width="9" style="79" customWidth="1"/>
    <col min="12051" max="12051" width="12.75" style="79" customWidth="1"/>
    <col min="12052" max="12052" width="3.875" style="79" customWidth="1"/>
    <col min="12053" max="12053" width="5.875" style="79" customWidth="1"/>
    <col min="12054" max="12054" width="5.75" style="79" customWidth="1"/>
    <col min="12055" max="12055" width="4.375" style="79" customWidth="1"/>
    <col min="12056" max="12056" width="8.875" style="79" customWidth="1"/>
    <col min="12057" max="12057" width="8.125" style="79" customWidth="1"/>
    <col min="12058" max="12058" width="9.125" style="79" customWidth="1"/>
    <col min="12059" max="12059" width="0" style="79" hidden="1" customWidth="1"/>
    <col min="12060" max="12060" width="5.75" style="79" customWidth="1"/>
    <col min="12061" max="12061" width="3.625" style="79" customWidth="1"/>
    <col min="12062" max="12062" width="7.625" style="79" customWidth="1"/>
    <col min="12063" max="12063" width="9.375" style="79" customWidth="1"/>
    <col min="12064" max="12064" width="0" style="79" hidden="1" customWidth="1"/>
    <col min="12065" max="12065" width="21.375" style="79" customWidth="1"/>
    <col min="12066" max="12066" width="6.25" style="79" customWidth="1"/>
    <col min="12067" max="12067" width="6" style="79" customWidth="1"/>
    <col min="12068" max="12068" width="16" style="79" customWidth="1"/>
    <col min="12069" max="12281" width="9" style="79" customWidth="1"/>
    <col min="12282" max="12282" width="2.625" style="79" customWidth="1"/>
    <col min="12283" max="12283" width="9.125" style="79" customWidth="1"/>
    <col min="12284" max="12284" width="2.625" style="79" customWidth="1"/>
    <col min="12285" max="12285" width="12" style="79" bestFit="1" customWidth="1"/>
    <col min="12286" max="12286" width="6.625" style="79" customWidth="1"/>
    <col min="12287" max="12287" width="6.375" style="79" customWidth="1"/>
    <col min="12288" max="12291" width="7.25" style="79"/>
    <col min="12292" max="12292" width="2.875" style="79" customWidth="1"/>
    <col min="12293" max="12293" width="10.125" style="79" customWidth="1"/>
    <col min="12294" max="12294" width="6" style="79" customWidth="1"/>
    <col min="12295" max="12295" width="5.875" style="79" customWidth="1"/>
    <col min="12296" max="12296" width="3.5" style="79" customWidth="1"/>
    <col min="12297" max="12297" width="3.875" style="79" customWidth="1"/>
    <col min="12298" max="12298" width="6.125" style="79" customWidth="1"/>
    <col min="12299" max="12299" width="4.125" style="79" customWidth="1"/>
    <col min="12300" max="12301" width="6.25" style="79" customWidth="1"/>
    <col min="12302" max="12302" width="5.25" style="79" customWidth="1"/>
    <col min="12303" max="12303" width="6.5" style="79" customWidth="1"/>
    <col min="12304" max="12304" width="5.625" style="79" customWidth="1"/>
    <col min="12305" max="12305" width="5.125" style="79" customWidth="1"/>
    <col min="12306" max="12306" width="9" style="79" customWidth="1"/>
    <col min="12307" max="12307" width="12.75" style="79" customWidth="1"/>
    <col min="12308" max="12308" width="3.875" style="79" customWidth="1"/>
    <col min="12309" max="12309" width="5.875" style="79" customWidth="1"/>
    <col min="12310" max="12310" width="5.75" style="79" customWidth="1"/>
    <col min="12311" max="12311" width="4.375" style="79" customWidth="1"/>
    <col min="12312" max="12312" width="8.875" style="79" customWidth="1"/>
    <col min="12313" max="12313" width="8.125" style="79" customWidth="1"/>
    <col min="12314" max="12314" width="9.125" style="79" customWidth="1"/>
    <col min="12315" max="12315" width="0" style="79" hidden="1" customWidth="1"/>
    <col min="12316" max="12316" width="5.75" style="79" customWidth="1"/>
    <col min="12317" max="12317" width="3.625" style="79" customWidth="1"/>
    <col min="12318" max="12318" width="7.625" style="79" customWidth="1"/>
    <col min="12319" max="12319" width="9.375" style="79" customWidth="1"/>
    <col min="12320" max="12320" width="0" style="79" hidden="1" customWidth="1"/>
    <col min="12321" max="12321" width="21.375" style="79" customWidth="1"/>
    <col min="12322" max="12322" width="6.25" style="79" customWidth="1"/>
    <col min="12323" max="12323" width="6" style="79" customWidth="1"/>
    <col min="12324" max="12324" width="16" style="79" customWidth="1"/>
    <col min="12325" max="12537" width="9" style="79" customWidth="1"/>
    <col min="12538" max="12538" width="2.625" style="79" customWidth="1"/>
    <col min="12539" max="12539" width="9.125" style="79" customWidth="1"/>
    <col min="12540" max="12540" width="2.625" style="79" customWidth="1"/>
    <col min="12541" max="12541" width="12" style="79" bestFit="1" customWidth="1"/>
    <col min="12542" max="12542" width="6.625" style="79" customWidth="1"/>
    <col min="12543" max="12543" width="6.375" style="79" customWidth="1"/>
    <col min="12544" max="12547" width="7.25" style="79"/>
    <col min="12548" max="12548" width="2.875" style="79" customWidth="1"/>
    <col min="12549" max="12549" width="10.125" style="79" customWidth="1"/>
    <col min="12550" max="12550" width="6" style="79" customWidth="1"/>
    <col min="12551" max="12551" width="5.875" style="79" customWidth="1"/>
    <col min="12552" max="12552" width="3.5" style="79" customWidth="1"/>
    <col min="12553" max="12553" width="3.875" style="79" customWidth="1"/>
    <col min="12554" max="12554" width="6.125" style="79" customWidth="1"/>
    <col min="12555" max="12555" width="4.125" style="79" customWidth="1"/>
    <col min="12556" max="12557" width="6.25" style="79" customWidth="1"/>
    <col min="12558" max="12558" width="5.25" style="79" customWidth="1"/>
    <col min="12559" max="12559" width="6.5" style="79" customWidth="1"/>
    <col min="12560" max="12560" width="5.625" style="79" customWidth="1"/>
    <col min="12561" max="12561" width="5.125" style="79" customWidth="1"/>
    <col min="12562" max="12562" width="9" style="79" customWidth="1"/>
    <col min="12563" max="12563" width="12.75" style="79" customWidth="1"/>
    <col min="12564" max="12564" width="3.875" style="79" customWidth="1"/>
    <col min="12565" max="12565" width="5.875" style="79" customWidth="1"/>
    <col min="12566" max="12566" width="5.75" style="79" customWidth="1"/>
    <col min="12567" max="12567" width="4.375" style="79" customWidth="1"/>
    <col min="12568" max="12568" width="8.875" style="79" customWidth="1"/>
    <col min="12569" max="12569" width="8.125" style="79" customWidth="1"/>
    <col min="12570" max="12570" width="9.125" style="79" customWidth="1"/>
    <col min="12571" max="12571" width="0" style="79" hidden="1" customWidth="1"/>
    <col min="12572" max="12572" width="5.75" style="79" customWidth="1"/>
    <col min="12573" max="12573" width="3.625" style="79" customWidth="1"/>
    <col min="12574" max="12574" width="7.625" style="79" customWidth="1"/>
    <col min="12575" max="12575" width="9.375" style="79" customWidth="1"/>
    <col min="12576" max="12576" width="0" style="79" hidden="1" customWidth="1"/>
    <col min="12577" max="12577" width="21.375" style="79" customWidth="1"/>
    <col min="12578" max="12578" width="6.25" style="79" customWidth="1"/>
    <col min="12579" max="12579" width="6" style="79" customWidth="1"/>
    <col min="12580" max="12580" width="16" style="79" customWidth="1"/>
    <col min="12581" max="12793" width="9" style="79" customWidth="1"/>
    <col min="12794" max="12794" width="2.625" style="79" customWidth="1"/>
    <col min="12795" max="12795" width="9.125" style="79" customWidth="1"/>
    <col min="12796" max="12796" width="2.625" style="79" customWidth="1"/>
    <col min="12797" max="12797" width="12" style="79" bestFit="1" customWidth="1"/>
    <col min="12798" max="12798" width="6.625" style="79" customWidth="1"/>
    <col min="12799" max="12799" width="6.375" style="79" customWidth="1"/>
    <col min="12800" max="12803" width="7.25" style="79"/>
    <col min="12804" max="12804" width="2.875" style="79" customWidth="1"/>
    <col min="12805" max="12805" width="10.125" style="79" customWidth="1"/>
    <col min="12806" max="12806" width="6" style="79" customWidth="1"/>
    <col min="12807" max="12807" width="5.875" style="79" customWidth="1"/>
    <col min="12808" max="12808" width="3.5" style="79" customWidth="1"/>
    <col min="12809" max="12809" width="3.875" style="79" customWidth="1"/>
    <col min="12810" max="12810" width="6.125" style="79" customWidth="1"/>
    <col min="12811" max="12811" width="4.125" style="79" customWidth="1"/>
    <col min="12812" max="12813" width="6.25" style="79" customWidth="1"/>
    <col min="12814" max="12814" width="5.25" style="79" customWidth="1"/>
    <col min="12815" max="12815" width="6.5" style="79" customWidth="1"/>
    <col min="12816" max="12816" width="5.625" style="79" customWidth="1"/>
    <col min="12817" max="12817" width="5.125" style="79" customWidth="1"/>
    <col min="12818" max="12818" width="9" style="79" customWidth="1"/>
    <col min="12819" max="12819" width="12.75" style="79" customWidth="1"/>
    <col min="12820" max="12820" width="3.875" style="79" customWidth="1"/>
    <col min="12821" max="12821" width="5.875" style="79" customWidth="1"/>
    <col min="12822" max="12822" width="5.75" style="79" customWidth="1"/>
    <col min="12823" max="12823" width="4.375" style="79" customWidth="1"/>
    <col min="12824" max="12824" width="8.875" style="79" customWidth="1"/>
    <col min="12825" max="12825" width="8.125" style="79" customWidth="1"/>
    <col min="12826" max="12826" width="9.125" style="79" customWidth="1"/>
    <col min="12827" max="12827" width="0" style="79" hidden="1" customWidth="1"/>
    <col min="12828" max="12828" width="5.75" style="79" customWidth="1"/>
    <col min="12829" max="12829" width="3.625" style="79" customWidth="1"/>
    <col min="12830" max="12830" width="7.625" style="79" customWidth="1"/>
    <col min="12831" max="12831" width="9.375" style="79" customWidth="1"/>
    <col min="12832" max="12832" width="0" style="79" hidden="1" customWidth="1"/>
    <col min="12833" max="12833" width="21.375" style="79" customWidth="1"/>
    <col min="12834" max="12834" width="6.25" style="79" customWidth="1"/>
    <col min="12835" max="12835" width="6" style="79" customWidth="1"/>
    <col min="12836" max="12836" width="16" style="79" customWidth="1"/>
    <col min="12837" max="13049" width="9" style="79" customWidth="1"/>
    <col min="13050" max="13050" width="2.625" style="79" customWidth="1"/>
    <col min="13051" max="13051" width="9.125" style="79" customWidth="1"/>
    <col min="13052" max="13052" width="2.625" style="79" customWidth="1"/>
    <col min="13053" max="13053" width="12" style="79" bestFit="1" customWidth="1"/>
    <col min="13054" max="13054" width="6.625" style="79" customWidth="1"/>
    <col min="13055" max="13055" width="6.375" style="79" customWidth="1"/>
    <col min="13056" max="13059" width="7.25" style="79"/>
    <col min="13060" max="13060" width="2.875" style="79" customWidth="1"/>
    <col min="13061" max="13061" width="10.125" style="79" customWidth="1"/>
    <col min="13062" max="13062" width="6" style="79" customWidth="1"/>
    <col min="13063" max="13063" width="5.875" style="79" customWidth="1"/>
    <col min="13064" max="13064" width="3.5" style="79" customWidth="1"/>
    <col min="13065" max="13065" width="3.875" style="79" customWidth="1"/>
    <col min="13066" max="13066" width="6.125" style="79" customWidth="1"/>
    <col min="13067" max="13067" width="4.125" style="79" customWidth="1"/>
    <col min="13068" max="13069" width="6.25" style="79" customWidth="1"/>
    <col min="13070" max="13070" width="5.25" style="79" customWidth="1"/>
    <col min="13071" max="13071" width="6.5" style="79" customWidth="1"/>
    <col min="13072" max="13072" width="5.625" style="79" customWidth="1"/>
    <col min="13073" max="13073" width="5.125" style="79" customWidth="1"/>
    <col min="13074" max="13074" width="9" style="79" customWidth="1"/>
    <col min="13075" max="13075" width="12.75" style="79" customWidth="1"/>
    <col min="13076" max="13076" width="3.875" style="79" customWidth="1"/>
    <col min="13077" max="13077" width="5.875" style="79" customWidth="1"/>
    <col min="13078" max="13078" width="5.75" style="79" customWidth="1"/>
    <col min="13079" max="13079" width="4.375" style="79" customWidth="1"/>
    <col min="13080" max="13080" width="8.875" style="79" customWidth="1"/>
    <col min="13081" max="13081" width="8.125" style="79" customWidth="1"/>
    <col min="13082" max="13082" width="9.125" style="79" customWidth="1"/>
    <col min="13083" max="13083" width="0" style="79" hidden="1" customWidth="1"/>
    <col min="13084" max="13084" width="5.75" style="79" customWidth="1"/>
    <col min="13085" max="13085" width="3.625" style="79" customWidth="1"/>
    <col min="13086" max="13086" width="7.625" style="79" customWidth="1"/>
    <col min="13087" max="13087" width="9.375" style="79" customWidth="1"/>
    <col min="13088" max="13088" width="0" style="79" hidden="1" customWidth="1"/>
    <col min="13089" max="13089" width="21.375" style="79" customWidth="1"/>
    <col min="13090" max="13090" width="6.25" style="79" customWidth="1"/>
    <col min="13091" max="13091" width="6" style="79" customWidth="1"/>
    <col min="13092" max="13092" width="16" style="79" customWidth="1"/>
    <col min="13093" max="13305" width="9" style="79" customWidth="1"/>
    <col min="13306" max="13306" width="2.625" style="79" customWidth="1"/>
    <col min="13307" max="13307" width="9.125" style="79" customWidth="1"/>
    <col min="13308" max="13308" width="2.625" style="79" customWidth="1"/>
    <col min="13309" max="13309" width="12" style="79" bestFit="1" customWidth="1"/>
    <col min="13310" max="13310" width="6.625" style="79" customWidth="1"/>
    <col min="13311" max="13311" width="6.375" style="79" customWidth="1"/>
    <col min="13312" max="13315" width="7.25" style="79"/>
    <col min="13316" max="13316" width="2.875" style="79" customWidth="1"/>
    <col min="13317" max="13317" width="10.125" style="79" customWidth="1"/>
    <col min="13318" max="13318" width="6" style="79" customWidth="1"/>
    <col min="13319" max="13319" width="5.875" style="79" customWidth="1"/>
    <col min="13320" max="13320" width="3.5" style="79" customWidth="1"/>
    <col min="13321" max="13321" width="3.875" style="79" customWidth="1"/>
    <col min="13322" max="13322" width="6.125" style="79" customWidth="1"/>
    <col min="13323" max="13323" width="4.125" style="79" customWidth="1"/>
    <col min="13324" max="13325" width="6.25" style="79" customWidth="1"/>
    <col min="13326" max="13326" width="5.25" style="79" customWidth="1"/>
    <col min="13327" max="13327" width="6.5" style="79" customWidth="1"/>
    <col min="13328" max="13328" width="5.625" style="79" customWidth="1"/>
    <col min="13329" max="13329" width="5.125" style="79" customWidth="1"/>
    <col min="13330" max="13330" width="9" style="79" customWidth="1"/>
    <col min="13331" max="13331" width="12.75" style="79" customWidth="1"/>
    <col min="13332" max="13332" width="3.875" style="79" customWidth="1"/>
    <col min="13333" max="13333" width="5.875" style="79" customWidth="1"/>
    <col min="13334" max="13334" width="5.75" style="79" customWidth="1"/>
    <col min="13335" max="13335" width="4.375" style="79" customWidth="1"/>
    <col min="13336" max="13336" width="8.875" style="79" customWidth="1"/>
    <col min="13337" max="13337" width="8.125" style="79" customWidth="1"/>
    <col min="13338" max="13338" width="9.125" style="79" customWidth="1"/>
    <col min="13339" max="13339" width="0" style="79" hidden="1" customWidth="1"/>
    <col min="13340" max="13340" width="5.75" style="79" customWidth="1"/>
    <col min="13341" max="13341" width="3.625" style="79" customWidth="1"/>
    <col min="13342" max="13342" width="7.625" style="79" customWidth="1"/>
    <col min="13343" max="13343" width="9.375" style="79" customWidth="1"/>
    <col min="13344" max="13344" width="0" style="79" hidden="1" customWidth="1"/>
    <col min="13345" max="13345" width="21.375" style="79" customWidth="1"/>
    <col min="13346" max="13346" width="6.25" style="79" customWidth="1"/>
    <col min="13347" max="13347" width="6" style="79" customWidth="1"/>
    <col min="13348" max="13348" width="16" style="79" customWidth="1"/>
    <col min="13349" max="13561" width="9" style="79" customWidth="1"/>
    <col min="13562" max="13562" width="2.625" style="79" customWidth="1"/>
    <col min="13563" max="13563" width="9.125" style="79" customWidth="1"/>
    <col min="13564" max="13564" width="2.625" style="79" customWidth="1"/>
    <col min="13565" max="13565" width="12" style="79" bestFit="1" customWidth="1"/>
    <col min="13566" max="13566" width="6.625" style="79" customWidth="1"/>
    <col min="13567" max="13567" width="6.375" style="79" customWidth="1"/>
    <col min="13568" max="13571" width="7.25" style="79"/>
    <col min="13572" max="13572" width="2.875" style="79" customWidth="1"/>
    <col min="13573" max="13573" width="10.125" style="79" customWidth="1"/>
    <col min="13574" max="13574" width="6" style="79" customWidth="1"/>
    <col min="13575" max="13575" width="5.875" style="79" customWidth="1"/>
    <col min="13576" max="13576" width="3.5" style="79" customWidth="1"/>
    <col min="13577" max="13577" width="3.875" style="79" customWidth="1"/>
    <col min="13578" max="13578" width="6.125" style="79" customWidth="1"/>
    <col min="13579" max="13579" width="4.125" style="79" customWidth="1"/>
    <col min="13580" max="13581" width="6.25" style="79" customWidth="1"/>
    <col min="13582" max="13582" width="5.25" style="79" customWidth="1"/>
    <col min="13583" max="13583" width="6.5" style="79" customWidth="1"/>
    <col min="13584" max="13584" width="5.625" style="79" customWidth="1"/>
    <col min="13585" max="13585" width="5.125" style="79" customWidth="1"/>
    <col min="13586" max="13586" width="9" style="79" customWidth="1"/>
    <col min="13587" max="13587" width="12.75" style="79" customWidth="1"/>
    <col min="13588" max="13588" width="3.875" style="79" customWidth="1"/>
    <col min="13589" max="13589" width="5.875" style="79" customWidth="1"/>
    <col min="13590" max="13590" width="5.75" style="79" customWidth="1"/>
    <col min="13591" max="13591" width="4.375" style="79" customWidth="1"/>
    <col min="13592" max="13592" width="8.875" style="79" customWidth="1"/>
    <col min="13593" max="13593" width="8.125" style="79" customWidth="1"/>
    <col min="13594" max="13594" width="9.125" style="79" customWidth="1"/>
    <col min="13595" max="13595" width="0" style="79" hidden="1" customWidth="1"/>
    <col min="13596" max="13596" width="5.75" style="79" customWidth="1"/>
    <col min="13597" max="13597" width="3.625" style="79" customWidth="1"/>
    <col min="13598" max="13598" width="7.625" style="79" customWidth="1"/>
    <col min="13599" max="13599" width="9.375" style="79" customWidth="1"/>
    <col min="13600" max="13600" width="0" style="79" hidden="1" customWidth="1"/>
    <col min="13601" max="13601" width="21.375" style="79" customWidth="1"/>
    <col min="13602" max="13602" width="6.25" style="79" customWidth="1"/>
    <col min="13603" max="13603" width="6" style="79" customWidth="1"/>
    <col min="13604" max="13604" width="16" style="79" customWidth="1"/>
    <col min="13605" max="13817" width="9" style="79" customWidth="1"/>
    <col min="13818" max="13818" width="2.625" style="79" customWidth="1"/>
    <col min="13819" max="13819" width="9.125" style="79" customWidth="1"/>
    <col min="13820" max="13820" width="2.625" style="79" customWidth="1"/>
    <col min="13821" max="13821" width="12" style="79" bestFit="1" customWidth="1"/>
    <col min="13822" max="13822" width="6.625" style="79" customWidth="1"/>
    <col min="13823" max="13823" width="6.375" style="79" customWidth="1"/>
    <col min="13824" max="13827" width="7.25" style="79"/>
    <col min="13828" max="13828" width="2.875" style="79" customWidth="1"/>
    <col min="13829" max="13829" width="10.125" style="79" customWidth="1"/>
    <col min="13830" max="13830" width="6" style="79" customWidth="1"/>
    <col min="13831" max="13831" width="5.875" style="79" customWidth="1"/>
    <col min="13832" max="13832" width="3.5" style="79" customWidth="1"/>
    <col min="13833" max="13833" width="3.875" style="79" customWidth="1"/>
    <col min="13834" max="13834" width="6.125" style="79" customWidth="1"/>
    <col min="13835" max="13835" width="4.125" style="79" customWidth="1"/>
    <col min="13836" max="13837" width="6.25" style="79" customWidth="1"/>
    <col min="13838" max="13838" width="5.25" style="79" customWidth="1"/>
    <col min="13839" max="13839" width="6.5" style="79" customWidth="1"/>
    <col min="13840" max="13840" width="5.625" style="79" customWidth="1"/>
    <col min="13841" max="13841" width="5.125" style="79" customWidth="1"/>
    <col min="13842" max="13842" width="9" style="79" customWidth="1"/>
    <col min="13843" max="13843" width="12.75" style="79" customWidth="1"/>
    <col min="13844" max="13844" width="3.875" style="79" customWidth="1"/>
    <col min="13845" max="13845" width="5.875" style="79" customWidth="1"/>
    <col min="13846" max="13846" width="5.75" style="79" customWidth="1"/>
    <col min="13847" max="13847" width="4.375" style="79" customWidth="1"/>
    <col min="13848" max="13848" width="8.875" style="79" customWidth="1"/>
    <col min="13849" max="13849" width="8.125" style="79" customWidth="1"/>
    <col min="13850" max="13850" width="9.125" style="79" customWidth="1"/>
    <col min="13851" max="13851" width="0" style="79" hidden="1" customWidth="1"/>
    <col min="13852" max="13852" width="5.75" style="79" customWidth="1"/>
    <col min="13853" max="13853" width="3.625" style="79" customWidth="1"/>
    <col min="13854" max="13854" width="7.625" style="79" customWidth="1"/>
    <col min="13855" max="13855" width="9.375" style="79" customWidth="1"/>
    <col min="13856" max="13856" width="0" style="79" hidden="1" customWidth="1"/>
    <col min="13857" max="13857" width="21.375" style="79" customWidth="1"/>
    <col min="13858" max="13858" width="6.25" style="79" customWidth="1"/>
    <col min="13859" max="13859" width="6" style="79" customWidth="1"/>
    <col min="13860" max="13860" width="16" style="79" customWidth="1"/>
    <col min="13861" max="14073" width="9" style="79" customWidth="1"/>
    <col min="14074" max="14074" width="2.625" style="79" customWidth="1"/>
    <col min="14075" max="14075" width="9.125" style="79" customWidth="1"/>
    <col min="14076" max="14076" width="2.625" style="79" customWidth="1"/>
    <col min="14077" max="14077" width="12" style="79" bestFit="1" customWidth="1"/>
    <col min="14078" max="14078" width="6.625" style="79" customWidth="1"/>
    <col min="14079" max="14079" width="6.375" style="79" customWidth="1"/>
    <col min="14080" max="14083" width="7.25" style="79"/>
    <col min="14084" max="14084" width="2.875" style="79" customWidth="1"/>
    <col min="14085" max="14085" width="10.125" style="79" customWidth="1"/>
    <col min="14086" max="14086" width="6" style="79" customWidth="1"/>
    <col min="14087" max="14087" width="5.875" style="79" customWidth="1"/>
    <col min="14088" max="14088" width="3.5" style="79" customWidth="1"/>
    <col min="14089" max="14089" width="3.875" style="79" customWidth="1"/>
    <col min="14090" max="14090" width="6.125" style="79" customWidth="1"/>
    <col min="14091" max="14091" width="4.125" style="79" customWidth="1"/>
    <col min="14092" max="14093" width="6.25" style="79" customWidth="1"/>
    <col min="14094" max="14094" width="5.25" style="79" customWidth="1"/>
    <col min="14095" max="14095" width="6.5" style="79" customWidth="1"/>
    <col min="14096" max="14096" width="5.625" style="79" customWidth="1"/>
    <col min="14097" max="14097" width="5.125" style="79" customWidth="1"/>
    <col min="14098" max="14098" width="9" style="79" customWidth="1"/>
    <col min="14099" max="14099" width="12.75" style="79" customWidth="1"/>
    <col min="14100" max="14100" width="3.875" style="79" customWidth="1"/>
    <col min="14101" max="14101" width="5.875" style="79" customWidth="1"/>
    <col min="14102" max="14102" width="5.75" style="79" customWidth="1"/>
    <col min="14103" max="14103" width="4.375" style="79" customWidth="1"/>
    <col min="14104" max="14104" width="8.875" style="79" customWidth="1"/>
    <col min="14105" max="14105" width="8.125" style="79" customWidth="1"/>
    <col min="14106" max="14106" width="9.125" style="79" customWidth="1"/>
    <col min="14107" max="14107" width="0" style="79" hidden="1" customWidth="1"/>
    <col min="14108" max="14108" width="5.75" style="79" customWidth="1"/>
    <col min="14109" max="14109" width="3.625" style="79" customWidth="1"/>
    <col min="14110" max="14110" width="7.625" style="79" customWidth="1"/>
    <col min="14111" max="14111" width="9.375" style="79" customWidth="1"/>
    <col min="14112" max="14112" width="0" style="79" hidden="1" customWidth="1"/>
    <col min="14113" max="14113" width="21.375" style="79" customWidth="1"/>
    <col min="14114" max="14114" width="6.25" style="79" customWidth="1"/>
    <col min="14115" max="14115" width="6" style="79" customWidth="1"/>
    <col min="14116" max="14116" width="16" style="79" customWidth="1"/>
    <col min="14117" max="14329" width="9" style="79" customWidth="1"/>
    <col min="14330" max="14330" width="2.625" style="79" customWidth="1"/>
    <col min="14331" max="14331" width="9.125" style="79" customWidth="1"/>
    <col min="14332" max="14332" width="2.625" style="79" customWidth="1"/>
    <col min="14333" max="14333" width="12" style="79" bestFit="1" customWidth="1"/>
    <col min="14334" max="14334" width="6.625" style="79" customWidth="1"/>
    <col min="14335" max="14335" width="6.375" style="79" customWidth="1"/>
    <col min="14336" max="14339" width="7.25" style="79"/>
    <col min="14340" max="14340" width="2.875" style="79" customWidth="1"/>
    <col min="14341" max="14341" width="10.125" style="79" customWidth="1"/>
    <col min="14342" max="14342" width="6" style="79" customWidth="1"/>
    <col min="14343" max="14343" width="5.875" style="79" customWidth="1"/>
    <col min="14344" max="14344" width="3.5" style="79" customWidth="1"/>
    <col min="14345" max="14345" width="3.875" style="79" customWidth="1"/>
    <col min="14346" max="14346" width="6.125" style="79" customWidth="1"/>
    <col min="14347" max="14347" width="4.125" style="79" customWidth="1"/>
    <col min="14348" max="14349" width="6.25" style="79" customWidth="1"/>
    <col min="14350" max="14350" width="5.25" style="79" customWidth="1"/>
    <col min="14351" max="14351" width="6.5" style="79" customWidth="1"/>
    <col min="14352" max="14352" width="5.625" style="79" customWidth="1"/>
    <col min="14353" max="14353" width="5.125" style="79" customWidth="1"/>
    <col min="14354" max="14354" width="9" style="79" customWidth="1"/>
    <col min="14355" max="14355" width="12.75" style="79" customWidth="1"/>
    <col min="14356" max="14356" width="3.875" style="79" customWidth="1"/>
    <col min="14357" max="14357" width="5.875" style="79" customWidth="1"/>
    <col min="14358" max="14358" width="5.75" style="79" customWidth="1"/>
    <col min="14359" max="14359" width="4.375" style="79" customWidth="1"/>
    <col min="14360" max="14360" width="8.875" style="79" customWidth="1"/>
    <col min="14361" max="14361" width="8.125" style="79" customWidth="1"/>
    <col min="14362" max="14362" width="9.125" style="79" customWidth="1"/>
    <col min="14363" max="14363" width="0" style="79" hidden="1" customWidth="1"/>
    <col min="14364" max="14364" width="5.75" style="79" customWidth="1"/>
    <col min="14365" max="14365" width="3.625" style="79" customWidth="1"/>
    <col min="14366" max="14366" width="7.625" style="79" customWidth="1"/>
    <col min="14367" max="14367" width="9.375" style="79" customWidth="1"/>
    <col min="14368" max="14368" width="0" style="79" hidden="1" customWidth="1"/>
    <col min="14369" max="14369" width="21.375" style="79" customWidth="1"/>
    <col min="14370" max="14370" width="6.25" style="79" customWidth="1"/>
    <col min="14371" max="14371" width="6" style="79" customWidth="1"/>
    <col min="14372" max="14372" width="16" style="79" customWidth="1"/>
    <col min="14373" max="14585" width="9" style="79" customWidth="1"/>
    <col min="14586" max="14586" width="2.625" style="79" customWidth="1"/>
    <col min="14587" max="14587" width="9.125" style="79" customWidth="1"/>
    <col min="14588" max="14588" width="2.625" style="79" customWidth="1"/>
    <col min="14589" max="14589" width="12" style="79" bestFit="1" customWidth="1"/>
    <col min="14590" max="14590" width="6.625" style="79" customWidth="1"/>
    <col min="14591" max="14591" width="6.375" style="79" customWidth="1"/>
    <col min="14592" max="14595" width="7.25" style="79"/>
    <col min="14596" max="14596" width="2.875" style="79" customWidth="1"/>
    <col min="14597" max="14597" width="10.125" style="79" customWidth="1"/>
    <col min="14598" max="14598" width="6" style="79" customWidth="1"/>
    <col min="14599" max="14599" width="5.875" style="79" customWidth="1"/>
    <col min="14600" max="14600" width="3.5" style="79" customWidth="1"/>
    <col min="14601" max="14601" width="3.875" style="79" customWidth="1"/>
    <col min="14602" max="14602" width="6.125" style="79" customWidth="1"/>
    <col min="14603" max="14603" width="4.125" style="79" customWidth="1"/>
    <col min="14604" max="14605" width="6.25" style="79" customWidth="1"/>
    <col min="14606" max="14606" width="5.25" style="79" customWidth="1"/>
    <col min="14607" max="14607" width="6.5" style="79" customWidth="1"/>
    <col min="14608" max="14608" width="5.625" style="79" customWidth="1"/>
    <col min="14609" max="14609" width="5.125" style="79" customWidth="1"/>
    <col min="14610" max="14610" width="9" style="79" customWidth="1"/>
    <col min="14611" max="14611" width="12.75" style="79" customWidth="1"/>
    <col min="14612" max="14612" width="3.875" style="79" customWidth="1"/>
    <col min="14613" max="14613" width="5.875" style="79" customWidth="1"/>
    <col min="14614" max="14614" width="5.75" style="79" customWidth="1"/>
    <col min="14615" max="14615" width="4.375" style="79" customWidth="1"/>
    <col min="14616" max="14616" width="8.875" style="79" customWidth="1"/>
    <col min="14617" max="14617" width="8.125" style="79" customWidth="1"/>
    <col min="14618" max="14618" width="9.125" style="79" customWidth="1"/>
    <col min="14619" max="14619" width="0" style="79" hidden="1" customWidth="1"/>
    <col min="14620" max="14620" width="5.75" style="79" customWidth="1"/>
    <col min="14621" max="14621" width="3.625" style="79" customWidth="1"/>
    <col min="14622" max="14622" width="7.625" style="79" customWidth="1"/>
    <col min="14623" max="14623" width="9.375" style="79" customWidth="1"/>
    <col min="14624" max="14624" width="0" style="79" hidden="1" customWidth="1"/>
    <col min="14625" max="14625" width="21.375" style="79" customWidth="1"/>
    <col min="14626" max="14626" width="6.25" style="79" customWidth="1"/>
    <col min="14627" max="14627" width="6" style="79" customWidth="1"/>
    <col min="14628" max="14628" width="16" style="79" customWidth="1"/>
    <col min="14629" max="14841" width="9" style="79" customWidth="1"/>
    <col min="14842" max="14842" width="2.625" style="79" customWidth="1"/>
    <col min="14843" max="14843" width="9.125" style="79" customWidth="1"/>
    <col min="14844" max="14844" width="2.625" style="79" customWidth="1"/>
    <col min="14845" max="14845" width="12" style="79" bestFit="1" customWidth="1"/>
    <col min="14846" max="14846" width="6.625" style="79" customWidth="1"/>
    <col min="14847" max="14847" width="6.375" style="79" customWidth="1"/>
    <col min="14848" max="14851" width="7.25" style="79"/>
    <col min="14852" max="14852" width="2.875" style="79" customWidth="1"/>
    <col min="14853" max="14853" width="10.125" style="79" customWidth="1"/>
    <col min="14854" max="14854" width="6" style="79" customWidth="1"/>
    <col min="14855" max="14855" width="5.875" style="79" customWidth="1"/>
    <col min="14856" max="14856" width="3.5" style="79" customWidth="1"/>
    <col min="14857" max="14857" width="3.875" style="79" customWidth="1"/>
    <col min="14858" max="14858" width="6.125" style="79" customWidth="1"/>
    <col min="14859" max="14859" width="4.125" style="79" customWidth="1"/>
    <col min="14860" max="14861" width="6.25" style="79" customWidth="1"/>
    <col min="14862" max="14862" width="5.25" style="79" customWidth="1"/>
    <col min="14863" max="14863" width="6.5" style="79" customWidth="1"/>
    <col min="14864" max="14864" width="5.625" style="79" customWidth="1"/>
    <col min="14865" max="14865" width="5.125" style="79" customWidth="1"/>
    <col min="14866" max="14866" width="9" style="79" customWidth="1"/>
    <col min="14867" max="14867" width="12.75" style="79" customWidth="1"/>
    <col min="14868" max="14868" width="3.875" style="79" customWidth="1"/>
    <col min="14869" max="14869" width="5.875" style="79" customWidth="1"/>
    <col min="14870" max="14870" width="5.75" style="79" customWidth="1"/>
    <col min="14871" max="14871" width="4.375" style="79" customWidth="1"/>
    <col min="14872" max="14872" width="8.875" style="79" customWidth="1"/>
    <col min="14873" max="14873" width="8.125" style="79" customWidth="1"/>
    <col min="14874" max="14874" width="9.125" style="79" customWidth="1"/>
    <col min="14875" max="14875" width="0" style="79" hidden="1" customWidth="1"/>
    <col min="14876" max="14876" width="5.75" style="79" customWidth="1"/>
    <col min="14877" max="14877" width="3.625" style="79" customWidth="1"/>
    <col min="14878" max="14878" width="7.625" style="79" customWidth="1"/>
    <col min="14879" max="14879" width="9.375" style="79" customWidth="1"/>
    <col min="14880" max="14880" width="0" style="79" hidden="1" customWidth="1"/>
    <col min="14881" max="14881" width="21.375" style="79" customWidth="1"/>
    <col min="14882" max="14882" width="6.25" style="79" customWidth="1"/>
    <col min="14883" max="14883" width="6" style="79" customWidth="1"/>
    <col min="14884" max="14884" width="16" style="79" customWidth="1"/>
    <col min="14885" max="15097" width="9" style="79" customWidth="1"/>
    <col min="15098" max="15098" width="2.625" style="79" customWidth="1"/>
    <col min="15099" max="15099" width="9.125" style="79" customWidth="1"/>
    <col min="15100" max="15100" width="2.625" style="79" customWidth="1"/>
    <col min="15101" max="15101" width="12" style="79" bestFit="1" customWidth="1"/>
    <col min="15102" max="15102" width="6.625" style="79" customWidth="1"/>
    <col min="15103" max="15103" width="6.375" style="79" customWidth="1"/>
    <col min="15104" max="15107" width="7.25" style="79"/>
    <col min="15108" max="15108" width="2.875" style="79" customWidth="1"/>
    <col min="15109" max="15109" width="10.125" style="79" customWidth="1"/>
    <col min="15110" max="15110" width="6" style="79" customWidth="1"/>
    <col min="15111" max="15111" width="5.875" style="79" customWidth="1"/>
    <col min="15112" max="15112" width="3.5" style="79" customWidth="1"/>
    <col min="15113" max="15113" width="3.875" style="79" customWidth="1"/>
    <col min="15114" max="15114" width="6.125" style="79" customWidth="1"/>
    <col min="15115" max="15115" width="4.125" style="79" customWidth="1"/>
    <col min="15116" max="15117" width="6.25" style="79" customWidth="1"/>
    <col min="15118" max="15118" width="5.25" style="79" customWidth="1"/>
    <col min="15119" max="15119" width="6.5" style="79" customWidth="1"/>
    <col min="15120" max="15120" width="5.625" style="79" customWidth="1"/>
    <col min="15121" max="15121" width="5.125" style="79" customWidth="1"/>
    <col min="15122" max="15122" width="9" style="79" customWidth="1"/>
    <col min="15123" max="15123" width="12.75" style="79" customWidth="1"/>
    <col min="15124" max="15124" width="3.875" style="79" customWidth="1"/>
    <col min="15125" max="15125" width="5.875" style="79" customWidth="1"/>
    <col min="15126" max="15126" width="5.75" style="79" customWidth="1"/>
    <col min="15127" max="15127" width="4.375" style="79" customWidth="1"/>
    <col min="15128" max="15128" width="8.875" style="79" customWidth="1"/>
    <col min="15129" max="15129" width="8.125" style="79" customWidth="1"/>
    <col min="15130" max="15130" width="9.125" style="79" customWidth="1"/>
    <col min="15131" max="15131" width="0" style="79" hidden="1" customWidth="1"/>
    <col min="15132" max="15132" width="5.75" style="79" customWidth="1"/>
    <col min="15133" max="15133" width="3.625" style="79" customWidth="1"/>
    <col min="15134" max="15134" width="7.625" style="79" customWidth="1"/>
    <col min="15135" max="15135" width="9.375" style="79" customWidth="1"/>
    <col min="15136" max="15136" width="0" style="79" hidden="1" customWidth="1"/>
    <col min="15137" max="15137" width="21.375" style="79" customWidth="1"/>
    <col min="15138" max="15138" width="6.25" style="79" customWidth="1"/>
    <col min="15139" max="15139" width="6" style="79" customWidth="1"/>
    <col min="15140" max="15140" width="16" style="79" customWidth="1"/>
    <col min="15141" max="15353" width="9" style="79" customWidth="1"/>
    <col min="15354" max="15354" width="2.625" style="79" customWidth="1"/>
    <col min="15355" max="15355" width="9.125" style="79" customWidth="1"/>
    <col min="15356" max="15356" width="2.625" style="79" customWidth="1"/>
    <col min="15357" max="15357" width="12" style="79" bestFit="1" customWidth="1"/>
    <col min="15358" max="15358" width="6.625" style="79" customWidth="1"/>
    <col min="15359" max="15359" width="6.375" style="79" customWidth="1"/>
    <col min="15360" max="15363" width="7.25" style="79"/>
    <col min="15364" max="15364" width="2.875" style="79" customWidth="1"/>
    <col min="15365" max="15365" width="10.125" style="79" customWidth="1"/>
    <col min="15366" max="15366" width="6" style="79" customWidth="1"/>
    <col min="15367" max="15367" width="5.875" style="79" customWidth="1"/>
    <col min="15368" max="15368" width="3.5" style="79" customWidth="1"/>
    <col min="15369" max="15369" width="3.875" style="79" customWidth="1"/>
    <col min="15370" max="15370" width="6.125" style="79" customWidth="1"/>
    <col min="15371" max="15371" width="4.125" style="79" customWidth="1"/>
    <col min="15372" max="15373" width="6.25" style="79" customWidth="1"/>
    <col min="15374" max="15374" width="5.25" style="79" customWidth="1"/>
    <col min="15375" max="15375" width="6.5" style="79" customWidth="1"/>
    <col min="15376" max="15376" width="5.625" style="79" customWidth="1"/>
    <col min="15377" max="15377" width="5.125" style="79" customWidth="1"/>
    <col min="15378" max="15378" width="9" style="79" customWidth="1"/>
    <col min="15379" max="15379" width="12.75" style="79" customWidth="1"/>
    <col min="15380" max="15380" width="3.875" style="79" customWidth="1"/>
    <col min="15381" max="15381" width="5.875" style="79" customWidth="1"/>
    <col min="15382" max="15382" width="5.75" style="79" customWidth="1"/>
    <col min="15383" max="15383" width="4.375" style="79" customWidth="1"/>
    <col min="15384" max="15384" width="8.875" style="79" customWidth="1"/>
    <col min="15385" max="15385" width="8.125" style="79" customWidth="1"/>
    <col min="15386" max="15386" width="9.125" style="79" customWidth="1"/>
    <col min="15387" max="15387" width="0" style="79" hidden="1" customWidth="1"/>
    <col min="15388" max="15388" width="5.75" style="79" customWidth="1"/>
    <col min="15389" max="15389" width="3.625" style="79" customWidth="1"/>
    <col min="15390" max="15390" width="7.625" style="79" customWidth="1"/>
    <col min="15391" max="15391" width="9.375" style="79" customWidth="1"/>
    <col min="15392" max="15392" width="0" style="79" hidden="1" customWidth="1"/>
    <col min="15393" max="15393" width="21.375" style="79" customWidth="1"/>
    <col min="15394" max="15394" width="6.25" style="79" customWidth="1"/>
    <col min="15395" max="15395" width="6" style="79" customWidth="1"/>
    <col min="15396" max="15396" width="16" style="79" customWidth="1"/>
    <col min="15397" max="15609" width="9" style="79" customWidth="1"/>
    <col min="15610" max="15610" width="2.625" style="79" customWidth="1"/>
    <col min="15611" max="15611" width="9.125" style="79" customWidth="1"/>
    <col min="15612" max="15612" width="2.625" style="79" customWidth="1"/>
    <col min="15613" max="15613" width="12" style="79" bestFit="1" customWidth="1"/>
    <col min="15614" max="15614" width="6.625" style="79" customWidth="1"/>
    <col min="15615" max="15615" width="6.375" style="79" customWidth="1"/>
    <col min="15616" max="15619" width="7.25" style="79"/>
    <col min="15620" max="15620" width="2.875" style="79" customWidth="1"/>
    <col min="15621" max="15621" width="10.125" style="79" customWidth="1"/>
    <col min="15622" max="15622" width="6" style="79" customWidth="1"/>
    <col min="15623" max="15623" width="5.875" style="79" customWidth="1"/>
    <col min="15624" max="15624" width="3.5" style="79" customWidth="1"/>
    <col min="15625" max="15625" width="3.875" style="79" customWidth="1"/>
    <col min="15626" max="15626" width="6.125" style="79" customWidth="1"/>
    <col min="15627" max="15627" width="4.125" style="79" customWidth="1"/>
    <col min="15628" max="15629" width="6.25" style="79" customWidth="1"/>
    <col min="15630" max="15630" width="5.25" style="79" customWidth="1"/>
    <col min="15631" max="15631" width="6.5" style="79" customWidth="1"/>
    <col min="15632" max="15632" width="5.625" style="79" customWidth="1"/>
    <col min="15633" max="15633" width="5.125" style="79" customWidth="1"/>
    <col min="15634" max="15634" width="9" style="79" customWidth="1"/>
    <col min="15635" max="15635" width="12.75" style="79" customWidth="1"/>
    <col min="15636" max="15636" width="3.875" style="79" customWidth="1"/>
    <col min="15637" max="15637" width="5.875" style="79" customWidth="1"/>
    <col min="15638" max="15638" width="5.75" style="79" customWidth="1"/>
    <col min="15639" max="15639" width="4.375" style="79" customWidth="1"/>
    <col min="15640" max="15640" width="8.875" style="79" customWidth="1"/>
    <col min="15641" max="15641" width="8.125" style="79" customWidth="1"/>
    <col min="15642" max="15642" width="9.125" style="79" customWidth="1"/>
    <col min="15643" max="15643" width="0" style="79" hidden="1" customWidth="1"/>
    <col min="15644" max="15644" width="5.75" style="79" customWidth="1"/>
    <col min="15645" max="15645" width="3.625" style="79" customWidth="1"/>
    <col min="15646" max="15646" width="7.625" style="79" customWidth="1"/>
    <col min="15647" max="15647" width="9.375" style="79" customWidth="1"/>
    <col min="15648" max="15648" width="0" style="79" hidden="1" customWidth="1"/>
    <col min="15649" max="15649" width="21.375" style="79" customWidth="1"/>
    <col min="15650" max="15650" width="6.25" style="79" customWidth="1"/>
    <col min="15651" max="15651" width="6" style="79" customWidth="1"/>
    <col min="15652" max="15652" width="16" style="79" customWidth="1"/>
    <col min="15653" max="15865" width="9" style="79" customWidth="1"/>
    <col min="15866" max="15866" width="2.625" style="79" customWidth="1"/>
    <col min="15867" max="15867" width="9.125" style="79" customWidth="1"/>
    <col min="15868" max="15868" width="2.625" style="79" customWidth="1"/>
    <col min="15869" max="15869" width="12" style="79" bestFit="1" customWidth="1"/>
    <col min="15870" max="15870" width="6.625" style="79" customWidth="1"/>
    <col min="15871" max="15871" width="6.375" style="79" customWidth="1"/>
    <col min="15872" max="15875" width="7.25" style="79"/>
    <col min="15876" max="15876" width="2.875" style="79" customWidth="1"/>
    <col min="15877" max="15877" width="10.125" style="79" customWidth="1"/>
    <col min="15878" max="15878" width="6" style="79" customWidth="1"/>
    <col min="15879" max="15879" width="5.875" style="79" customWidth="1"/>
    <col min="15880" max="15880" width="3.5" style="79" customWidth="1"/>
    <col min="15881" max="15881" width="3.875" style="79" customWidth="1"/>
    <col min="15882" max="15882" width="6.125" style="79" customWidth="1"/>
    <col min="15883" max="15883" width="4.125" style="79" customWidth="1"/>
    <col min="15884" max="15885" width="6.25" style="79" customWidth="1"/>
    <col min="15886" max="15886" width="5.25" style="79" customWidth="1"/>
    <col min="15887" max="15887" width="6.5" style="79" customWidth="1"/>
    <col min="15888" max="15888" width="5.625" style="79" customWidth="1"/>
    <col min="15889" max="15889" width="5.125" style="79" customWidth="1"/>
    <col min="15890" max="15890" width="9" style="79" customWidth="1"/>
    <col min="15891" max="15891" width="12.75" style="79" customWidth="1"/>
    <col min="15892" max="15892" width="3.875" style="79" customWidth="1"/>
    <col min="15893" max="15893" width="5.875" style="79" customWidth="1"/>
    <col min="15894" max="15894" width="5.75" style="79" customWidth="1"/>
    <col min="15895" max="15895" width="4.375" style="79" customWidth="1"/>
    <col min="15896" max="15896" width="8.875" style="79" customWidth="1"/>
    <col min="15897" max="15897" width="8.125" style="79" customWidth="1"/>
    <col min="15898" max="15898" width="9.125" style="79" customWidth="1"/>
    <col min="15899" max="15899" width="0" style="79" hidden="1" customWidth="1"/>
    <col min="15900" max="15900" width="5.75" style="79" customWidth="1"/>
    <col min="15901" max="15901" width="3.625" style="79" customWidth="1"/>
    <col min="15902" max="15902" width="7.625" style="79" customWidth="1"/>
    <col min="15903" max="15903" width="9.375" style="79" customWidth="1"/>
    <col min="15904" max="15904" width="0" style="79" hidden="1" customWidth="1"/>
    <col min="15905" max="15905" width="21.375" style="79" customWidth="1"/>
    <col min="15906" max="15906" width="6.25" style="79" customWidth="1"/>
    <col min="15907" max="15907" width="6" style="79" customWidth="1"/>
    <col min="15908" max="15908" width="16" style="79" customWidth="1"/>
    <col min="15909" max="16121" width="9" style="79" customWidth="1"/>
    <col min="16122" max="16122" width="2.625" style="79" customWidth="1"/>
    <col min="16123" max="16123" width="9.125" style="79" customWidth="1"/>
    <col min="16124" max="16124" width="2.625" style="79" customWidth="1"/>
    <col min="16125" max="16125" width="12" style="79" bestFit="1" customWidth="1"/>
    <col min="16126" max="16126" width="6.625" style="79" customWidth="1"/>
    <col min="16127" max="16127" width="6.375" style="79" customWidth="1"/>
    <col min="16128" max="16131" width="7.25" style="79"/>
    <col min="16132" max="16132" width="2.875" style="79" customWidth="1"/>
    <col min="16133" max="16133" width="10.125" style="79" customWidth="1"/>
    <col min="16134" max="16134" width="6" style="79" customWidth="1"/>
    <col min="16135" max="16135" width="5.875" style="79" customWidth="1"/>
    <col min="16136" max="16136" width="3.5" style="79" customWidth="1"/>
    <col min="16137" max="16137" width="3.875" style="79" customWidth="1"/>
    <col min="16138" max="16138" width="6.125" style="79" customWidth="1"/>
    <col min="16139" max="16139" width="4.125" style="79" customWidth="1"/>
    <col min="16140" max="16141" width="6.25" style="79" customWidth="1"/>
    <col min="16142" max="16142" width="5.25" style="79" customWidth="1"/>
    <col min="16143" max="16143" width="6.5" style="79" customWidth="1"/>
    <col min="16144" max="16144" width="5.625" style="79" customWidth="1"/>
    <col min="16145" max="16145" width="5.125" style="79" customWidth="1"/>
    <col min="16146" max="16146" width="9" style="79" customWidth="1"/>
    <col min="16147" max="16147" width="12.75" style="79" customWidth="1"/>
    <col min="16148" max="16148" width="3.875" style="79" customWidth="1"/>
    <col min="16149" max="16149" width="5.875" style="79" customWidth="1"/>
    <col min="16150" max="16150" width="5.75" style="79" customWidth="1"/>
    <col min="16151" max="16151" width="4.375" style="79" customWidth="1"/>
    <col min="16152" max="16152" width="8.875" style="79" customWidth="1"/>
    <col min="16153" max="16153" width="8.125" style="79" customWidth="1"/>
    <col min="16154" max="16154" width="9.125" style="79" customWidth="1"/>
    <col min="16155" max="16155" width="0" style="79" hidden="1" customWidth="1"/>
    <col min="16156" max="16156" width="5.75" style="79" customWidth="1"/>
    <col min="16157" max="16157" width="3.625" style="79" customWidth="1"/>
    <col min="16158" max="16158" width="7.625" style="79" customWidth="1"/>
    <col min="16159" max="16159" width="9.375" style="79" customWidth="1"/>
    <col min="16160" max="16160" width="0" style="79" hidden="1" customWidth="1"/>
    <col min="16161" max="16161" width="21.375" style="79" customWidth="1"/>
    <col min="16162" max="16162" width="6.25" style="79" customWidth="1"/>
    <col min="16163" max="16163" width="6" style="79" customWidth="1"/>
    <col min="16164" max="16164" width="16" style="79" customWidth="1"/>
    <col min="16165" max="16384" width="9" style="79" customWidth="1"/>
  </cols>
  <sheetData>
    <row r="1" spans="1:249" ht="32.25" customHeight="1" x14ac:dyDescent="0.2">
      <c r="A1" s="508" t="s">
        <v>87</v>
      </c>
      <c r="B1" s="508"/>
      <c r="C1" s="508"/>
      <c r="D1" s="508"/>
      <c r="E1" s="508"/>
      <c r="F1" s="508"/>
      <c r="G1" s="508"/>
      <c r="H1" s="508"/>
      <c r="I1" s="508"/>
      <c r="J1" s="508"/>
      <c r="K1" s="508"/>
      <c r="L1" s="508"/>
      <c r="M1" s="508"/>
      <c r="N1" s="508"/>
      <c r="O1" s="508"/>
      <c r="P1" s="508"/>
      <c r="Q1" s="508"/>
      <c r="R1" s="508"/>
      <c r="S1" s="508"/>
      <c r="T1" s="508"/>
      <c r="U1" s="508"/>
      <c r="V1" s="508"/>
      <c r="W1" s="508"/>
      <c r="X1" s="508"/>
      <c r="Y1" s="508"/>
      <c r="Z1" s="508"/>
      <c r="AA1" s="508"/>
      <c r="AB1" s="508"/>
      <c r="AC1" s="508"/>
      <c r="AD1" s="508"/>
      <c r="AE1" s="508"/>
      <c r="AF1" s="508"/>
      <c r="AG1" s="508"/>
      <c r="AH1" s="75"/>
      <c r="AI1" s="76"/>
      <c r="AJ1" s="77"/>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c r="DV1" s="78"/>
      <c r="DW1" s="78"/>
      <c r="DX1" s="78"/>
      <c r="DY1" s="78"/>
      <c r="DZ1" s="78"/>
      <c r="EA1" s="78"/>
      <c r="EB1" s="78"/>
      <c r="EC1" s="78"/>
      <c r="ED1" s="78"/>
      <c r="EE1" s="78"/>
      <c r="EF1" s="78"/>
      <c r="EG1" s="78"/>
      <c r="EH1" s="78"/>
      <c r="EI1" s="78"/>
      <c r="EJ1" s="78"/>
      <c r="EK1" s="78"/>
      <c r="EL1" s="78"/>
      <c r="EM1" s="78"/>
      <c r="EN1" s="78"/>
      <c r="EO1" s="78"/>
      <c r="EP1" s="78"/>
      <c r="EQ1" s="78"/>
      <c r="ER1" s="78"/>
      <c r="ES1" s="78"/>
      <c r="ET1" s="78"/>
      <c r="EU1" s="78"/>
      <c r="EV1" s="78"/>
      <c r="EW1" s="78"/>
      <c r="EX1" s="78"/>
      <c r="EY1" s="78"/>
      <c r="EZ1" s="78"/>
      <c r="FA1" s="78"/>
      <c r="FB1" s="78"/>
      <c r="FC1" s="78"/>
      <c r="FD1" s="78"/>
      <c r="FE1" s="78"/>
      <c r="FF1" s="78"/>
      <c r="FG1" s="78"/>
      <c r="FH1" s="78"/>
      <c r="FI1" s="78"/>
      <c r="FJ1" s="78"/>
      <c r="FK1" s="78"/>
      <c r="FL1" s="78"/>
      <c r="FM1" s="78"/>
      <c r="FN1" s="78"/>
      <c r="FO1" s="78"/>
      <c r="FP1" s="78"/>
      <c r="FQ1" s="78"/>
      <c r="FR1" s="78"/>
      <c r="FS1" s="78"/>
      <c r="FT1" s="78"/>
      <c r="FU1" s="78"/>
      <c r="FV1" s="78"/>
      <c r="FW1" s="78"/>
      <c r="FX1" s="78"/>
      <c r="FY1" s="78"/>
      <c r="FZ1" s="78"/>
      <c r="GA1" s="78"/>
      <c r="GB1" s="78"/>
      <c r="GC1" s="78"/>
      <c r="GD1" s="78"/>
      <c r="GE1" s="78"/>
      <c r="GF1" s="78"/>
      <c r="GG1" s="78"/>
      <c r="GH1" s="78"/>
      <c r="GI1" s="78"/>
      <c r="GJ1" s="78"/>
      <c r="GK1" s="78"/>
      <c r="GL1" s="78"/>
      <c r="GM1" s="78"/>
      <c r="GN1" s="78"/>
      <c r="GO1" s="78"/>
      <c r="GP1" s="78"/>
      <c r="GQ1" s="78"/>
      <c r="GR1" s="78"/>
      <c r="GS1" s="78"/>
      <c r="GT1" s="78"/>
      <c r="GU1" s="78"/>
      <c r="GV1" s="78"/>
      <c r="GW1" s="78"/>
      <c r="GX1" s="78"/>
      <c r="GY1" s="78"/>
      <c r="GZ1" s="78"/>
      <c r="HA1" s="78"/>
      <c r="HB1" s="78"/>
      <c r="HC1" s="78"/>
      <c r="HD1" s="78"/>
      <c r="HE1" s="78"/>
      <c r="HF1" s="78"/>
      <c r="HG1" s="78"/>
      <c r="HH1" s="78"/>
      <c r="HI1" s="78"/>
      <c r="HJ1" s="78"/>
      <c r="HK1" s="78"/>
      <c r="HL1" s="78"/>
      <c r="HM1" s="78"/>
      <c r="HN1" s="78"/>
      <c r="HO1" s="78"/>
      <c r="HP1" s="78"/>
      <c r="HQ1" s="78"/>
      <c r="HR1" s="78"/>
      <c r="HS1" s="78"/>
      <c r="HT1" s="78"/>
      <c r="HU1" s="78"/>
      <c r="HV1" s="78"/>
      <c r="HW1" s="78"/>
      <c r="HX1" s="78"/>
      <c r="HY1" s="78"/>
      <c r="HZ1" s="78"/>
      <c r="IA1" s="78"/>
      <c r="IB1" s="78"/>
      <c r="IC1" s="78"/>
      <c r="ID1" s="78"/>
      <c r="IE1" s="78"/>
      <c r="IF1" s="78"/>
      <c r="IG1" s="78"/>
      <c r="IH1" s="78"/>
      <c r="II1" s="78"/>
      <c r="IJ1" s="78"/>
      <c r="IK1" s="78"/>
      <c r="IL1" s="78"/>
      <c r="IM1" s="78"/>
      <c r="IN1" s="78"/>
      <c r="IO1" s="78"/>
    </row>
    <row r="2" spans="1:249" ht="18" customHeight="1" x14ac:dyDescent="0.2">
      <c r="A2" s="508" t="s">
        <v>29</v>
      </c>
      <c r="B2" s="508"/>
      <c r="C2" s="508"/>
      <c r="D2" s="508"/>
      <c r="E2" s="508"/>
      <c r="F2" s="508"/>
      <c r="G2" s="508"/>
      <c r="H2" s="508"/>
      <c r="I2" s="508"/>
      <c r="J2" s="508"/>
      <c r="K2" s="508"/>
      <c r="L2" s="508"/>
      <c r="M2" s="508"/>
      <c r="N2" s="508"/>
      <c r="O2" s="508"/>
      <c r="P2" s="508"/>
      <c r="Q2" s="508"/>
      <c r="R2" s="508"/>
      <c r="S2" s="508"/>
      <c r="T2" s="508"/>
      <c r="U2" s="508"/>
      <c r="V2" s="508"/>
      <c r="W2" s="508"/>
      <c r="X2" s="508"/>
      <c r="Y2" s="508"/>
      <c r="Z2" s="508"/>
      <c r="AA2" s="508"/>
      <c r="AB2" s="508"/>
      <c r="AC2" s="508"/>
      <c r="AD2" s="508"/>
      <c r="AE2" s="508"/>
      <c r="AF2" s="508"/>
      <c r="AG2" s="508"/>
      <c r="AH2" s="75"/>
      <c r="AI2" s="76"/>
      <c r="AJ2" s="77"/>
      <c r="AK2" s="78"/>
      <c r="AL2" s="78"/>
      <c r="AM2" s="78"/>
      <c r="AN2" s="78"/>
      <c r="AO2" s="78"/>
      <c r="AP2" s="78"/>
      <c r="AQ2" s="78"/>
      <c r="AR2" s="78"/>
      <c r="AS2" s="78"/>
      <c r="AT2" s="78"/>
      <c r="AU2" s="78"/>
      <c r="AV2" s="78"/>
      <c r="AW2" s="78"/>
      <c r="AX2" s="78"/>
      <c r="AY2" s="78"/>
      <c r="AZ2" s="78"/>
      <c r="BA2" s="78"/>
      <c r="BB2" s="78"/>
      <c r="BC2" s="78"/>
      <c r="BD2" s="78"/>
      <c r="BE2" s="78"/>
      <c r="BF2" s="78"/>
      <c r="BG2" s="78"/>
      <c r="BH2" s="78"/>
      <c r="BI2" s="78"/>
      <c r="BJ2" s="78"/>
      <c r="BK2" s="78"/>
      <c r="BL2" s="78"/>
      <c r="BM2" s="78"/>
      <c r="BN2" s="78"/>
      <c r="BO2" s="78"/>
      <c r="BP2" s="78"/>
      <c r="BQ2" s="78"/>
      <c r="BR2" s="78"/>
      <c r="BS2" s="78"/>
      <c r="BT2" s="78"/>
      <c r="BU2" s="78"/>
      <c r="BV2" s="78"/>
      <c r="BW2" s="78"/>
      <c r="BX2" s="78"/>
      <c r="BY2" s="78"/>
      <c r="BZ2" s="78"/>
      <c r="CA2" s="78"/>
      <c r="CB2" s="78"/>
      <c r="CC2" s="78"/>
      <c r="CD2" s="78"/>
      <c r="CE2" s="78"/>
      <c r="CF2" s="78"/>
      <c r="CG2" s="78"/>
      <c r="CH2" s="78"/>
      <c r="CI2" s="78"/>
      <c r="CJ2" s="78"/>
      <c r="CK2" s="78"/>
      <c r="CL2" s="78"/>
      <c r="CM2" s="78"/>
      <c r="CN2" s="78"/>
      <c r="CO2" s="78"/>
      <c r="CP2" s="78"/>
      <c r="CQ2" s="78"/>
      <c r="CR2" s="78"/>
      <c r="CS2" s="78"/>
      <c r="CT2" s="78"/>
      <c r="CU2" s="78"/>
      <c r="CV2" s="78"/>
      <c r="CW2" s="78"/>
      <c r="CX2" s="78"/>
      <c r="CY2" s="78"/>
      <c r="CZ2" s="78"/>
      <c r="DA2" s="78"/>
      <c r="DB2" s="78"/>
      <c r="DC2" s="78"/>
      <c r="DD2" s="78"/>
      <c r="DE2" s="78"/>
      <c r="DF2" s="78"/>
      <c r="DG2" s="78"/>
      <c r="DH2" s="78"/>
      <c r="DI2" s="78"/>
      <c r="DJ2" s="78"/>
      <c r="DK2" s="78"/>
      <c r="DL2" s="78"/>
      <c r="DM2" s="78"/>
      <c r="DN2" s="78"/>
      <c r="DO2" s="78"/>
      <c r="DP2" s="78"/>
      <c r="DQ2" s="78"/>
      <c r="DR2" s="78"/>
      <c r="DS2" s="78"/>
      <c r="DT2" s="78"/>
      <c r="DU2" s="78"/>
      <c r="DV2" s="78"/>
      <c r="DW2" s="78"/>
      <c r="DX2" s="78"/>
      <c r="DY2" s="78"/>
      <c r="DZ2" s="78"/>
      <c r="EA2" s="78"/>
      <c r="EB2" s="78"/>
      <c r="EC2" s="78"/>
      <c r="ED2" s="78"/>
      <c r="EE2" s="78"/>
      <c r="EF2" s="78"/>
      <c r="EG2" s="78"/>
      <c r="EH2" s="78"/>
      <c r="EI2" s="78"/>
      <c r="EJ2" s="78"/>
      <c r="EK2" s="78"/>
      <c r="EL2" s="78"/>
      <c r="EM2" s="78"/>
      <c r="EN2" s="78"/>
      <c r="EO2" s="78"/>
      <c r="EP2" s="78"/>
      <c r="EQ2" s="78"/>
      <c r="ER2" s="78"/>
      <c r="ES2" s="78"/>
      <c r="ET2" s="78"/>
      <c r="EU2" s="78"/>
      <c r="EV2" s="78"/>
      <c r="EW2" s="78"/>
      <c r="EX2" s="78"/>
      <c r="EY2" s="78"/>
      <c r="EZ2" s="78"/>
      <c r="FA2" s="78"/>
      <c r="FB2" s="78"/>
      <c r="FC2" s="78"/>
      <c r="FD2" s="78"/>
      <c r="FE2" s="78"/>
      <c r="FF2" s="78"/>
      <c r="FG2" s="78"/>
      <c r="FH2" s="78"/>
      <c r="FI2" s="78"/>
      <c r="FJ2" s="78"/>
      <c r="FK2" s="78"/>
      <c r="FL2" s="78"/>
      <c r="FM2" s="78"/>
      <c r="FN2" s="78"/>
      <c r="FO2" s="78"/>
      <c r="FP2" s="78"/>
      <c r="FQ2" s="78"/>
      <c r="FR2" s="78"/>
      <c r="FS2" s="78"/>
      <c r="FT2" s="78"/>
      <c r="FU2" s="78"/>
      <c r="FV2" s="78"/>
      <c r="FW2" s="78"/>
      <c r="FX2" s="78"/>
      <c r="FY2" s="78"/>
      <c r="FZ2" s="78"/>
      <c r="GA2" s="78"/>
      <c r="GB2" s="78"/>
      <c r="GC2" s="78"/>
      <c r="GD2" s="78"/>
      <c r="GE2" s="78"/>
      <c r="GF2" s="78"/>
      <c r="GG2" s="78"/>
      <c r="GH2" s="78"/>
      <c r="GI2" s="78"/>
      <c r="GJ2" s="78"/>
      <c r="GK2" s="78"/>
      <c r="GL2" s="78"/>
      <c r="GM2" s="78"/>
      <c r="GN2" s="78"/>
      <c r="GO2" s="78"/>
      <c r="GP2" s="78"/>
      <c r="GQ2" s="78"/>
      <c r="GR2" s="78"/>
      <c r="GS2" s="78"/>
      <c r="GT2" s="78"/>
      <c r="GU2" s="78"/>
      <c r="GV2" s="78"/>
      <c r="GW2" s="78"/>
      <c r="GX2" s="78"/>
      <c r="GY2" s="78"/>
      <c r="GZ2" s="78"/>
      <c r="HA2" s="78"/>
      <c r="HB2" s="78"/>
      <c r="HC2" s="78"/>
      <c r="HD2" s="78"/>
      <c r="HE2" s="78"/>
      <c r="HF2" s="78"/>
      <c r="HG2" s="78"/>
      <c r="HH2" s="78"/>
      <c r="HI2" s="78"/>
      <c r="HJ2" s="78"/>
      <c r="HK2" s="78"/>
      <c r="HL2" s="78"/>
      <c r="HM2" s="78"/>
      <c r="HN2" s="78"/>
      <c r="HO2" s="78"/>
      <c r="HP2" s="78"/>
      <c r="HQ2" s="78"/>
      <c r="HR2" s="78"/>
      <c r="HS2" s="78"/>
      <c r="HT2" s="78"/>
      <c r="HU2" s="78"/>
      <c r="HV2" s="78"/>
      <c r="HW2" s="78"/>
      <c r="HX2" s="78"/>
      <c r="HY2" s="78"/>
      <c r="HZ2" s="78"/>
      <c r="IA2" s="78"/>
      <c r="IB2" s="78"/>
      <c r="IC2" s="78"/>
      <c r="ID2" s="78"/>
      <c r="IE2" s="78"/>
      <c r="IF2" s="78"/>
      <c r="IG2" s="78"/>
      <c r="IH2" s="78"/>
      <c r="II2" s="78"/>
      <c r="IJ2" s="78"/>
      <c r="IK2" s="78"/>
      <c r="IL2" s="78"/>
      <c r="IM2" s="78"/>
      <c r="IN2" s="78"/>
      <c r="IO2" s="78"/>
    </row>
    <row r="3" spans="1:249" s="83" customFormat="1" ht="15" customHeight="1" x14ac:dyDescent="0.3">
      <c r="A3" s="584" t="s">
        <v>313</v>
      </c>
      <c r="B3" s="584"/>
      <c r="C3" s="584"/>
      <c r="D3" s="584"/>
      <c r="E3" s="584"/>
      <c r="F3" s="584"/>
      <c r="G3" s="584"/>
      <c r="H3" s="584"/>
      <c r="I3" s="584"/>
      <c r="J3" s="584"/>
      <c r="K3" s="584"/>
      <c r="L3" s="584"/>
      <c r="M3" s="584"/>
      <c r="N3" s="584"/>
      <c r="O3" s="584"/>
      <c r="P3" s="584"/>
      <c r="Q3" s="584"/>
      <c r="R3" s="584"/>
      <c r="S3" s="584"/>
      <c r="T3" s="584"/>
      <c r="U3" s="584"/>
      <c r="V3" s="584"/>
      <c r="W3" s="584"/>
      <c r="X3" s="584"/>
      <c r="Y3" s="584"/>
      <c r="Z3" s="584"/>
      <c r="AA3" s="584"/>
      <c r="AB3" s="584"/>
      <c r="AC3" s="584"/>
      <c r="AD3" s="584"/>
      <c r="AE3" s="584"/>
      <c r="AF3" s="584"/>
      <c r="AG3" s="584"/>
      <c r="AH3" s="80"/>
      <c r="AI3" s="81"/>
      <c r="AJ3" s="80"/>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c r="DR3" s="82"/>
      <c r="DS3" s="82"/>
      <c r="DT3" s="82"/>
      <c r="DU3" s="82"/>
      <c r="DV3" s="82"/>
      <c r="DW3" s="82"/>
      <c r="DX3" s="82"/>
      <c r="DY3" s="82"/>
      <c r="DZ3" s="82"/>
      <c r="EA3" s="82"/>
      <c r="EB3" s="82"/>
      <c r="EC3" s="82"/>
      <c r="ED3" s="82"/>
      <c r="EE3" s="82"/>
      <c r="EF3" s="82"/>
      <c r="EG3" s="82"/>
      <c r="EH3" s="82"/>
      <c r="EI3" s="82"/>
      <c r="EJ3" s="82"/>
      <c r="EK3" s="82"/>
      <c r="EL3" s="82"/>
      <c r="EM3" s="82"/>
      <c r="EN3" s="82"/>
      <c r="EO3" s="82"/>
      <c r="EP3" s="82"/>
      <c r="EQ3" s="82"/>
      <c r="ER3" s="82"/>
      <c r="ES3" s="82"/>
      <c r="ET3" s="82"/>
      <c r="EU3" s="82"/>
      <c r="EV3" s="82"/>
      <c r="EW3" s="82"/>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2"/>
      <c r="HX3" s="82"/>
      <c r="HY3" s="82"/>
      <c r="HZ3" s="82"/>
      <c r="IA3" s="82"/>
      <c r="IB3" s="82"/>
      <c r="IC3" s="82"/>
      <c r="ID3" s="82"/>
      <c r="IE3" s="82"/>
      <c r="IF3" s="82"/>
      <c r="IG3" s="82"/>
      <c r="IH3" s="82"/>
      <c r="II3" s="82"/>
      <c r="IJ3" s="82"/>
      <c r="IK3" s="82"/>
      <c r="IL3" s="82"/>
      <c r="IM3" s="82"/>
      <c r="IN3" s="82"/>
      <c r="IO3" s="82"/>
    </row>
    <row r="4" spans="1:249" s="86" customFormat="1" ht="31.5" customHeight="1" x14ac:dyDescent="0.2">
      <c r="A4" s="474" t="s">
        <v>15</v>
      </c>
      <c r="B4" s="475" t="s">
        <v>1</v>
      </c>
      <c r="C4" s="478" t="s">
        <v>74</v>
      </c>
      <c r="D4" s="479"/>
      <c r="E4" s="479"/>
      <c r="F4" s="480"/>
      <c r="G4" s="481" t="s">
        <v>3</v>
      </c>
      <c r="H4" s="481"/>
      <c r="I4" s="481"/>
      <c r="J4" s="481"/>
      <c r="K4" s="478" t="s">
        <v>69</v>
      </c>
      <c r="L4" s="479"/>
      <c r="M4" s="479"/>
      <c r="N4" s="479"/>
      <c r="O4" s="479"/>
      <c r="P4" s="479"/>
      <c r="Q4" s="479"/>
      <c r="R4" s="480"/>
      <c r="S4" s="481" t="s">
        <v>28</v>
      </c>
      <c r="T4" s="481" t="s">
        <v>75</v>
      </c>
      <c r="U4" s="481"/>
      <c r="V4" s="481" t="s">
        <v>76</v>
      </c>
      <c r="W4" s="481"/>
      <c r="X4" s="481"/>
      <c r="Y4" s="481"/>
      <c r="Z4" s="481"/>
      <c r="AA4" s="481"/>
      <c r="AB4" s="481" t="s">
        <v>77</v>
      </c>
      <c r="AC4" s="496" t="s">
        <v>81</v>
      </c>
      <c r="AD4" s="475" t="s">
        <v>301</v>
      </c>
      <c r="AE4" s="481" t="s">
        <v>83</v>
      </c>
      <c r="AF4" s="481" t="s">
        <v>65</v>
      </c>
      <c r="AG4" s="496" t="s">
        <v>4</v>
      </c>
      <c r="AH4" s="580"/>
      <c r="AI4" s="583"/>
      <c r="AJ4" s="84"/>
      <c r="AK4" s="85"/>
      <c r="AL4" s="85"/>
      <c r="AM4" s="85"/>
      <c r="AN4" s="85"/>
      <c r="AO4" s="85"/>
      <c r="AP4" s="85"/>
      <c r="AQ4" s="85"/>
      <c r="AR4" s="85"/>
      <c r="AS4" s="85"/>
      <c r="AT4" s="85"/>
      <c r="AU4" s="85"/>
      <c r="AV4" s="85"/>
      <c r="AW4" s="85"/>
      <c r="AX4" s="85"/>
      <c r="AY4" s="85"/>
      <c r="AZ4" s="85"/>
      <c r="BA4" s="85"/>
      <c r="BB4" s="85"/>
      <c r="BC4" s="85"/>
      <c r="BD4" s="85"/>
      <c r="BE4" s="85"/>
      <c r="BF4" s="85"/>
      <c r="BG4" s="85"/>
      <c r="BH4" s="85"/>
      <c r="BI4" s="85"/>
      <c r="BJ4" s="85"/>
      <c r="BK4" s="85"/>
      <c r="BL4" s="85"/>
      <c r="BM4" s="85"/>
      <c r="BN4" s="85"/>
      <c r="BO4" s="85"/>
      <c r="BP4" s="85"/>
      <c r="BQ4" s="85"/>
      <c r="BR4" s="85"/>
      <c r="BS4" s="85"/>
      <c r="BT4" s="85"/>
      <c r="BU4" s="85"/>
      <c r="BV4" s="85"/>
      <c r="BW4" s="85"/>
      <c r="BX4" s="85"/>
      <c r="BY4" s="85"/>
      <c r="BZ4" s="85"/>
      <c r="CA4" s="85"/>
      <c r="CB4" s="85"/>
      <c r="CC4" s="85"/>
      <c r="CD4" s="85"/>
      <c r="CE4" s="85"/>
      <c r="CF4" s="85"/>
      <c r="CG4" s="85"/>
      <c r="CH4" s="85"/>
      <c r="CI4" s="85"/>
      <c r="CJ4" s="85"/>
      <c r="CK4" s="85"/>
      <c r="CL4" s="85"/>
      <c r="CM4" s="85"/>
      <c r="CN4" s="85"/>
      <c r="CO4" s="85"/>
      <c r="CP4" s="85"/>
      <c r="CQ4" s="85"/>
      <c r="CR4" s="85"/>
      <c r="CS4" s="85"/>
      <c r="CT4" s="85"/>
      <c r="CU4" s="85"/>
      <c r="CV4" s="85"/>
      <c r="CW4" s="85"/>
      <c r="CX4" s="85"/>
      <c r="CY4" s="85"/>
      <c r="CZ4" s="85"/>
      <c r="DA4" s="85"/>
      <c r="DB4" s="85"/>
      <c r="DC4" s="85"/>
      <c r="DD4" s="85"/>
      <c r="DE4" s="85"/>
      <c r="DF4" s="85"/>
      <c r="DG4" s="85"/>
      <c r="DH4" s="85"/>
      <c r="DI4" s="85"/>
      <c r="DJ4" s="85"/>
      <c r="DK4" s="85"/>
      <c r="DL4" s="85"/>
      <c r="DM4" s="85"/>
      <c r="DN4" s="85"/>
      <c r="DO4" s="85"/>
      <c r="DP4" s="85"/>
      <c r="DQ4" s="85"/>
      <c r="DR4" s="85"/>
      <c r="DS4" s="85"/>
      <c r="DT4" s="85"/>
      <c r="DU4" s="85"/>
      <c r="DV4" s="85"/>
      <c r="DW4" s="85"/>
      <c r="DX4" s="85"/>
      <c r="DY4" s="85"/>
      <c r="DZ4" s="85"/>
      <c r="EA4" s="85"/>
      <c r="EB4" s="85"/>
      <c r="EC4" s="85"/>
      <c r="ED4" s="85"/>
      <c r="EE4" s="85"/>
      <c r="EF4" s="85"/>
      <c r="EG4" s="85"/>
      <c r="EH4" s="85"/>
      <c r="EI4" s="85"/>
      <c r="EJ4" s="85"/>
      <c r="EK4" s="85"/>
      <c r="EL4" s="85"/>
      <c r="EM4" s="85"/>
      <c r="EN4" s="85"/>
      <c r="EO4" s="85"/>
      <c r="EP4" s="85"/>
      <c r="EQ4" s="85"/>
      <c r="ER4" s="85"/>
      <c r="ES4" s="85"/>
      <c r="ET4" s="85"/>
      <c r="EU4" s="85"/>
      <c r="EV4" s="85"/>
      <c r="EW4" s="85"/>
      <c r="EX4" s="85"/>
      <c r="EY4" s="85"/>
      <c r="EZ4" s="85"/>
      <c r="FA4" s="85"/>
      <c r="FB4" s="85"/>
      <c r="FC4" s="85"/>
      <c r="FD4" s="85"/>
      <c r="FE4" s="85"/>
      <c r="FF4" s="85"/>
      <c r="FG4" s="85"/>
      <c r="FH4" s="85"/>
      <c r="FI4" s="85"/>
      <c r="FJ4" s="85"/>
      <c r="FK4" s="85"/>
      <c r="FL4" s="85"/>
      <c r="FM4" s="85"/>
      <c r="FN4" s="85"/>
      <c r="FO4" s="85"/>
      <c r="FP4" s="85"/>
      <c r="FQ4" s="85"/>
      <c r="FR4" s="85"/>
      <c r="FS4" s="85"/>
      <c r="FT4" s="85"/>
      <c r="FU4" s="85"/>
      <c r="FV4" s="85"/>
      <c r="FW4" s="85"/>
      <c r="FX4" s="85"/>
      <c r="FY4" s="85"/>
      <c r="FZ4" s="85"/>
      <c r="GA4" s="85"/>
      <c r="GB4" s="85"/>
      <c r="GC4" s="85"/>
      <c r="GD4" s="85"/>
      <c r="GE4" s="85"/>
      <c r="GF4" s="85"/>
      <c r="GG4" s="85"/>
      <c r="GH4" s="85"/>
      <c r="GI4" s="85"/>
      <c r="GJ4" s="85"/>
      <c r="GK4" s="85"/>
      <c r="GL4" s="85"/>
      <c r="GM4" s="85"/>
      <c r="GN4" s="85"/>
      <c r="GO4" s="85"/>
      <c r="GP4" s="85"/>
      <c r="GQ4" s="85"/>
      <c r="GR4" s="85"/>
      <c r="GS4" s="85"/>
      <c r="GT4" s="85"/>
      <c r="GU4" s="85"/>
      <c r="GV4" s="85"/>
      <c r="GW4" s="85"/>
      <c r="GX4" s="85"/>
      <c r="GY4" s="85"/>
      <c r="GZ4" s="85"/>
      <c r="HA4" s="85"/>
      <c r="HB4" s="85"/>
      <c r="HC4" s="85"/>
      <c r="HD4" s="85"/>
      <c r="HE4" s="85"/>
      <c r="HF4" s="85"/>
      <c r="HG4" s="85"/>
      <c r="HH4" s="85"/>
      <c r="HI4" s="85"/>
      <c r="HJ4" s="85"/>
      <c r="HK4" s="85"/>
      <c r="HL4" s="85"/>
      <c r="HM4" s="85"/>
      <c r="HN4" s="85"/>
      <c r="HO4" s="85"/>
      <c r="HP4" s="85"/>
      <c r="HQ4" s="85"/>
      <c r="HR4" s="85"/>
      <c r="HS4" s="85"/>
      <c r="HT4" s="85"/>
      <c r="HU4" s="85"/>
      <c r="HV4" s="85"/>
      <c r="HW4" s="85"/>
      <c r="HX4" s="85"/>
      <c r="HY4" s="85"/>
      <c r="HZ4" s="85"/>
      <c r="IA4" s="85"/>
      <c r="IB4" s="85"/>
      <c r="IC4" s="85"/>
      <c r="ID4" s="85"/>
      <c r="IE4" s="85"/>
      <c r="IF4" s="85"/>
      <c r="IG4" s="85"/>
      <c r="IH4" s="85"/>
      <c r="II4" s="85"/>
      <c r="IJ4" s="85"/>
      <c r="IK4" s="85"/>
      <c r="IL4" s="85"/>
      <c r="IM4" s="85"/>
      <c r="IN4" s="85"/>
      <c r="IO4" s="85"/>
    </row>
    <row r="5" spans="1:249" s="86" customFormat="1" ht="16.5" customHeight="1" x14ac:dyDescent="0.2">
      <c r="A5" s="474"/>
      <c r="B5" s="476"/>
      <c r="C5" s="487" t="s">
        <v>5</v>
      </c>
      <c r="D5" s="487" t="s">
        <v>16</v>
      </c>
      <c r="E5" s="487" t="s">
        <v>13</v>
      </c>
      <c r="F5" s="487" t="s">
        <v>2</v>
      </c>
      <c r="G5" s="487" t="s">
        <v>5</v>
      </c>
      <c r="H5" s="487" t="s">
        <v>16</v>
      </c>
      <c r="I5" s="487" t="s">
        <v>13</v>
      </c>
      <c r="J5" s="487" t="s">
        <v>6</v>
      </c>
      <c r="K5" s="482" t="s">
        <v>30</v>
      </c>
      <c r="L5" s="483"/>
      <c r="M5" s="484"/>
      <c r="N5" s="482" t="s">
        <v>31</v>
      </c>
      <c r="O5" s="483"/>
      <c r="P5" s="484"/>
      <c r="Q5" s="485" t="s">
        <v>17</v>
      </c>
      <c r="R5" s="485" t="s">
        <v>70</v>
      </c>
      <c r="S5" s="481"/>
      <c r="T5" s="487" t="s">
        <v>18</v>
      </c>
      <c r="U5" s="487" t="s">
        <v>19</v>
      </c>
      <c r="V5" s="493" t="s">
        <v>20</v>
      </c>
      <c r="W5" s="493" t="s">
        <v>21</v>
      </c>
      <c r="X5" s="493" t="s">
        <v>22</v>
      </c>
      <c r="Y5" s="487" t="s">
        <v>18</v>
      </c>
      <c r="Z5" s="487" t="s">
        <v>23</v>
      </c>
      <c r="AA5" s="487" t="s">
        <v>19</v>
      </c>
      <c r="AB5" s="481"/>
      <c r="AC5" s="497"/>
      <c r="AD5" s="476"/>
      <c r="AE5" s="481"/>
      <c r="AF5" s="481"/>
      <c r="AG5" s="497"/>
      <c r="AH5" s="581"/>
      <c r="AI5" s="583"/>
      <c r="AJ5" s="84"/>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c r="BM5" s="85"/>
      <c r="BN5" s="85"/>
      <c r="BO5" s="85"/>
      <c r="BP5" s="85"/>
      <c r="BQ5" s="85"/>
      <c r="BR5" s="85"/>
      <c r="BS5" s="85"/>
      <c r="BT5" s="85"/>
      <c r="BU5" s="85"/>
      <c r="BV5" s="85"/>
      <c r="BW5" s="85"/>
      <c r="BX5" s="85"/>
      <c r="BY5" s="85"/>
      <c r="BZ5" s="85"/>
      <c r="CA5" s="85"/>
      <c r="CB5" s="85"/>
      <c r="CC5" s="85"/>
      <c r="CD5" s="85"/>
      <c r="CE5" s="85"/>
      <c r="CF5" s="85"/>
      <c r="CG5" s="85"/>
      <c r="CH5" s="85"/>
      <c r="CI5" s="85"/>
      <c r="CJ5" s="85"/>
      <c r="CK5" s="85"/>
      <c r="CL5" s="85"/>
      <c r="CM5" s="85"/>
      <c r="CN5" s="85"/>
      <c r="CO5" s="85"/>
      <c r="CP5" s="85"/>
      <c r="CQ5" s="85"/>
      <c r="CR5" s="85"/>
      <c r="CS5" s="85"/>
      <c r="CT5" s="85"/>
      <c r="CU5" s="85"/>
      <c r="CV5" s="85"/>
      <c r="CW5" s="85"/>
      <c r="CX5" s="85"/>
      <c r="CY5" s="85"/>
      <c r="CZ5" s="85"/>
      <c r="DA5" s="85"/>
      <c r="DB5" s="85"/>
      <c r="DC5" s="85"/>
      <c r="DD5" s="85"/>
      <c r="DE5" s="85"/>
      <c r="DF5" s="85"/>
      <c r="DG5" s="85"/>
      <c r="DH5" s="85"/>
      <c r="DI5" s="85"/>
      <c r="DJ5" s="85"/>
      <c r="DK5" s="85"/>
      <c r="DL5" s="85"/>
      <c r="DM5" s="85"/>
      <c r="DN5" s="85"/>
      <c r="DO5" s="85"/>
      <c r="DP5" s="85"/>
      <c r="DQ5" s="85"/>
      <c r="DR5" s="85"/>
      <c r="DS5" s="85"/>
      <c r="DT5" s="85"/>
      <c r="DU5" s="85"/>
      <c r="DV5" s="85"/>
      <c r="DW5" s="85"/>
      <c r="DX5" s="85"/>
      <c r="DY5" s="85"/>
      <c r="DZ5" s="85"/>
      <c r="EA5" s="85"/>
      <c r="EB5" s="85"/>
      <c r="EC5" s="85"/>
      <c r="ED5" s="85"/>
      <c r="EE5" s="85"/>
      <c r="EF5" s="85"/>
      <c r="EG5" s="85"/>
      <c r="EH5" s="85"/>
      <c r="EI5" s="85"/>
      <c r="EJ5" s="85"/>
      <c r="EK5" s="85"/>
      <c r="EL5" s="85"/>
      <c r="EM5" s="85"/>
      <c r="EN5" s="85"/>
      <c r="EO5" s="85"/>
      <c r="EP5" s="85"/>
      <c r="EQ5" s="85"/>
      <c r="ER5" s="85"/>
      <c r="ES5" s="85"/>
      <c r="ET5" s="85"/>
      <c r="EU5" s="85"/>
      <c r="EV5" s="85"/>
      <c r="EW5" s="85"/>
      <c r="EX5" s="85"/>
      <c r="EY5" s="85"/>
      <c r="EZ5" s="85"/>
      <c r="FA5" s="85"/>
      <c r="FB5" s="85"/>
      <c r="FC5" s="85"/>
      <c r="FD5" s="85"/>
      <c r="FE5" s="85"/>
      <c r="FF5" s="85"/>
      <c r="FG5" s="85"/>
      <c r="FH5" s="85"/>
      <c r="FI5" s="85"/>
      <c r="FJ5" s="85"/>
      <c r="FK5" s="85"/>
      <c r="FL5" s="85"/>
      <c r="FM5" s="85"/>
      <c r="FN5" s="85"/>
      <c r="FO5" s="85"/>
      <c r="FP5" s="85"/>
      <c r="FQ5" s="85"/>
      <c r="FR5" s="85"/>
      <c r="FS5" s="85"/>
      <c r="FT5" s="85"/>
      <c r="FU5" s="85"/>
      <c r="FV5" s="85"/>
      <c r="FW5" s="85"/>
      <c r="FX5" s="85"/>
      <c r="FY5" s="85"/>
      <c r="FZ5" s="85"/>
      <c r="GA5" s="85"/>
      <c r="GB5" s="85"/>
      <c r="GC5" s="85"/>
      <c r="GD5" s="85"/>
      <c r="GE5" s="85"/>
      <c r="GF5" s="85"/>
      <c r="GG5" s="85"/>
      <c r="GH5" s="85"/>
      <c r="GI5" s="85"/>
      <c r="GJ5" s="85"/>
      <c r="GK5" s="85"/>
      <c r="GL5" s="85"/>
      <c r="GM5" s="85"/>
      <c r="GN5" s="85"/>
      <c r="GO5" s="85"/>
      <c r="GP5" s="85"/>
      <c r="GQ5" s="85"/>
      <c r="GR5" s="85"/>
      <c r="GS5" s="85"/>
      <c r="GT5" s="85"/>
      <c r="GU5" s="85"/>
      <c r="GV5" s="85"/>
      <c r="GW5" s="85"/>
      <c r="GX5" s="85"/>
      <c r="GY5" s="85"/>
      <c r="GZ5" s="85"/>
      <c r="HA5" s="85"/>
      <c r="HB5" s="85"/>
      <c r="HC5" s="85"/>
      <c r="HD5" s="85"/>
      <c r="HE5" s="85"/>
      <c r="HF5" s="85"/>
      <c r="HG5" s="85"/>
      <c r="HH5" s="85"/>
      <c r="HI5" s="85"/>
      <c r="HJ5" s="85"/>
      <c r="HK5" s="85"/>
      <c r="HL5" s="85"/>
      <c r="HM5" s="85"/>
      <c r="HN5" s="85"/>
      <c r="HO5" s="85"/>
      <c r="HP5" s="85"/>
      <c r="HQ5" s="85"/>
      <c r="HR5" s="85"/>
      <c r="HS5" s="85"/>
      <c r="HT5" s="85"/>
      <c r="HU5" s="85"/>
      <c r="HV5" s="85"/>
      <c r="HW5" s="85"/>
      <c r="HX5" s="85"/>
      <c r="HY5" s="85"/>
      <c r="HZ5" s="85"/>
      <c r="IA5" s="85"/>
      <c r="IB5" s="85"/>
      <c r="IC5" s="85"/>
      <c r="ID5" s="85"/>
      <c r="IE5" s="85"/>
      <c r="IF5" s="85"/>
      <c r="IG5" s="85"/>
      <c r="IH5" s="85"/>
      <c r="II5" s="85"/>
      <c r="IJ5" s="85"/>
      <c r="IK5" s="85"/>
      <c r="IL5" s="85"/>
      <c r="IM5" s="85"/>
      <c r="IN5" s="85"/>
      <c r="IO5" s="85"/>
    </row>
    <row r="6" spans="1:249" s="86" customFormat="1" ht="114.75" customHeight="1" x14ac:dyDescent="0.2">
      <c r="A6" s="474"/>
      <c r="B6" s="477"/>
      <c r="C6" s="487"/>
      <c r="D6" s="487"/>
      <c r="E6" s="487"/>
      <c r="F6" s="487"/>
      <c r="G6" s="487"/>
      <c r="H6" s="487"/>
      <c r="I6" s="487"/>
      <c r="J6" s="487"/>
      <c r="K6" s="45" t="s">
        <v>68</v>
      </c>
      <c r="L6" s="87" t="s">
        <v>66</v>
      </c>
      <c r="M6" s="45" t="s">
        <v>67</v>
      </c>
      <c r="N6" s="45" t="s">
        <v>68</v>
      </c>
      <c r="O6" s="87" t="s">
        <v>66</v>
      </c>
      <c r="P6" s="45" t="s">
        <v>67</v>
      </c>
      <c r="Q6" s="486"/>
      <c r="R6" s="486"/>
      <c r="S6" s="481"/>
      <c r="T6" s="487"/>
      <c r="U6" s="487"/>
      <c r="V6" s="493"/>
      <c r="W6" s="493"/>
      <c r="X6" s="493"/>
      <c r="Y6" s="487"/>
      <c r="Z6" s="487"/>
      <c r="AA6" s="487"/>
      <c r="AB6" s="481"/>
      <c r="AC6" s="498"/>
      <c r="AD6" s="477"/>
      <c r="AE6" s="481"/>
      <c r="AF6" s="481"/>
      <c r="AG6" s="498"/>
      <c r="AH6" s="582"/>
      <c r="AI6" s="583"/>
      <c r="AJ6" s="84"/>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c r="BM6" s="85"/>
      <c r="BN6" s="85"/>
      <c r="BO6" s="85"/>
      <c r="BP6" s="85"/>
      <c r="BQ6" s="85"/>
      <c r="BR6" s="85"/>
      <c r="BS6" s="85"/>
      <c r="BT6" s="85"/>
      <c r="BU6" s="85"/>
      <c r="BV6" s="85"/>
      <c r="BW6" s="85"/>
      <c r="BX6" s="85"/>
      <c r="BY6" s="85"/>
      <c r="BZ6" s="85"/>
      <c r="CA6" s="85"/>
      <c r="CB6" s="85"/>
      <c r="CC6" s="85"/>
      <c r="CD6" s="85"/>
      <c r="CE6" s="85"/>
      <c r="CF6" s="85"/>
      <c r="CG6" s="85"/>
      <c r="CH6" s="85"/>
      <c r="CI6" s="85"/>
      <c r="CJ6" s="85"/>
      <c r="CK6" s="85"/>
      <c r="CL6" s="85"/>
      <c r="CM6" s="85"/>
      <c r="CN6" s="85"/>
      <c r="CO6" s="85"/>
      <c r="CP6" s="85"/>
      <c r="CQ6" s="85"/>
      <c r="CR6" s="85"/>
      <c r="CS6" s="85"/>
      <c r="CT6" s="85"/>
      <c r="CU6" s="85"/>
      <c r="CV6" s="85"/>
      <c r="CW6" s="85"/>
      <c r="CX6" s="85"/>
      <c r="CY6" s="85"/>
      <c r="CZ6" s="85"/>
      <c r="DA6" s="85"/>
      <c r="DB6" s="85"/>
      <c r="DC6" s="85"/>
      <c r="DD6" s="85"/>
      <c r="DE6" s="85"/>
      <c r="DF6" s="85"/>
      <c r="DG6" s="85"/>
      <c r="DH6" s="85"/>
      <c r="DI6" s="85"/>
      <c r="DJ6" s="85"/>
      <c r="DK6" s="85"/>
      <c r="DL6" s="85"/>
      <c r="DM6" s="85"/>
      <c r="DN6" s="85"/>
      <c r="DO6" s="85"/>
      <c r="DP6" s="85"/>
      <c r="DQ6" s="85"/>
      <c r="DR6" s="85"/>
      <c r="DS6" s="85"/>
      <c r="DT6" s="85"/>
      <c r="DU6" s="85"/>
      <c r="DV6" s="85"/>
      <c r="DW6" s="85"/>
      <c r="DX6" s="85"/>
      <c r="DY6" s="85"/>
      <c r="DZ6" s="85"/>
      <c r="EA6" s="85"/>
      <c r="EB6" s="85"/>
      <c r="EC6" s="85"/>
      <c r="ED6" s="85"/>
      <c r="EE6" s="85"/>
      <c r="EF6" s="85"/>
      <c r="EG6" s="85"/>
      <c r="EH6" s="85"/>
      <c r="EI6" s="85"/>
      <c r="EJ6" s="85"/>
      <c r="EK6" s="85"/>
      <c r="EL6" s="85"/>
      <c r="EM6" s="85"/>
      <c r="EN6" s="85"/>
      <c r="EO6" s="85"/>
      <c r="EP6" s="85"/>
      <c r="EQ6" s="85"/>
      <c r="ER6" s="85"/>
      <c r="ES6" s="85"/>
      <c r="ET6" s="85"/>
      <c r="EU6" s="85"/>
      <c r="EV6" s="85"/>
      <c r="EW6" s="85"/>
      <c r="EX6" s="85"/>
      <c r="EY6" s="85"/>
      <c r="EZ6" s="85"/>
      <c r="FA6" s="85"/>
      <c r="FB6" s="85"/>
      <c r="FC6" s="85"/>
      <c r="FD6" s="85"/>
      <c r="FE6" s="85"/>
      <c r="FF6" s="85"/>
      <c r="FG6" s="85"/>
      <c r="FH6" s="85"/>
      <c r="FI6" s="85"/>
      <c r="FJ6" s="85"/>
      <c r="FK6" s="85"/>
      <c r="FL6" s="85"/>
      <c r="FM6" s="85"/>
      <c r="FN6" s="85"/>
      <c r="FO6" s="85"/>
      <c r="FP6" s="85"/>
      <c r="FQ6" s="85"/>
      <c r="FR6" s="85"/>
      <c r="FS6" s="85"/>
      <c r="FT6" s="85"/>
      <c r="FU6" s="85"/>
      <c r="FV6" s="85"/>
      <c r="FW6" s="85"/>
      <c r="FX6" s="85"/>
      <c r="FY6" s="85"/>
      <c r="FZ6" s="85"/>
      <c r="GA6" s="85"/>
      <c r="GB6" s="85"/>
      <c r="GC6" s="85"/>
      <c r="GD6" s="85"/>
      <c r="GE6" s="85"/>
      <c r="GF6" s="85"/>
      <c r="GG6" s="85"/>
      <c r="GH6" s="85"/>
      <c r="GI6" s="85"/>
      <c r="GJ6" s="85"/>
      <c r="GK6" s="85"/>
      <c r="GL6" s="85"/>
      <c r="GM6" s="85"/>
      <c r="GN6" s="85"/>
      <c r="GO6" s="85"/>
      <c r="GP6" s="85"/>
      <c r="GQ6" s="85"/>
      <c r="GR6" s="85"/>
      <c r="GS6" s="85"/>
      <c r="GT6" s="85"/>
      <c r="GU6" s="85"/>
      <c r="GV6" s="85"/>
      <c r="GW6" s="85"/>
      <c r="GX6" s="85"/>
      <c r="GY6" s="85"/>
      <c r="GZ6" s="85"/>
      <c r="HA6" s="85"/>
      <c r="HB6" s="85"/>
      <c r="HC6" s="85"/>
      <c r="HD6" s="85"/>
      <c r="HE6" s="85"/>
      <c r="HF6" s="85"/>
      <c r="HG6" s="85"/>
      <c r="HH6" s="85"/>
      <c r="HI6" s="85"/>
      <c r="HJ6" s="85"/>
      <c r="HK6" s="85"/>
      <c r="HL6" s="85"/>
      <c r="HM6" s="85"/>
      <c r="HN6" s="85"/>
      <c r="HO6" s="85"/>
      <c r="HP6" s="85"/>
      <c r="HQ6" s="85"/>
      <c r="HR6" s="85"/>
      <c r="HS6" s="85"/>
      <c r="HT6" s="85"/>
      <c r="HU6" s="85"/>
      <c r="HV6" s="85"/>
      <c r="HW6" s="85"/>
      <c r="HX6" s="85"/>
      <c r="HY6" s="85"/>
      <c r="HZ6" s="85"/>
      <c r="IA6" s="85"/>
      <c r="IB6" s="85"/>
      <c r="IC6" s="85"/>
      <c r="ID6" s="85"/>
      <c r="IE6" s="85"/>
      <c r="IF6" s="85"/>
      <c r="IG6" s="85"/>
      <c r="IH6" s="85"/>
      <c r="II6" s="85"/>
      <c r="IJ6" s="85"/>
      <c r="IK6" s="85"/>
      <c r="IL6" s="85"/>
      <c r="IM6" s="85"/>
      <c r="IN6" s="85"/>
      <c r="IO6" s="85"/>
    </row>
    <row r="7" spans="1:249" s="93" customFormat="1" ht="29.25" customHeight="1" x14ac:dyDescent="0.25">
      <c r="A7" s="46">
        <v>1</v>
      </c>
      <c r="B7" s="88">
        <v>2</v>
      </c>
      <c r="C7" s="46">
        <v>3</v>
      </c>
      <c r="D7" s="46">
        <v>4</v>
      </c>
      <c r="E7" s="46">
        <v>5</v>
      </c>
      <c r="F7" s="46">
        <v>6</v>
      </c>
      <c r="G7" s="46">
        <v>7</v>
      </c>
      <c r="H7" s="46">
        <v>8</v>
      </c>
      <c r="I7" s="46">
        <v>9</v>
      </c>
      <c r="J7" s="230">
        <v>10</v>
      </c>
      <c r="K7" s="46">
        <v>11</v>
      </c>
      <c r="L7" s="46">
        <v>12</v>
      </c>
      <c r="M7" s="46">
        <v>13</v>
      </c>
      <c r="N7" s="46">
        <v>14</v>
      </c>
      <c r="O7" s="46">
        <v>15</v>
      </c>
      <c r="P7" s="46">
        <v>16</v>
      </c>
      <c r="Q7" s="68" t="s">
        <v>63</v>
      </c>
      <c r="R7" s="46">
        <v>18</v>
      </c>
      <c r="S7" s="46">
        <v>19</v>
      </c>
      <c r="T7" s="46">
        <v>20</v>
      </c>
      <c r="U7" s="46" t="s">
        <v>71</v>
      </c>
      <c r="V7" s="52">
        <v>22</v>
      </c>
      <c r="W7" s="52">
        <v>23</v>
      </c>
      <c r="X7" s="52">
        <v>24</v>
      </c>
      <c r="Y7" s="46">
        <v>25</v>
      </c>
      <c r="Z7" s="46">
        <v>26</v>
      </c>
      <c r="AA7" s="46" t="s">
        <v>72</v>
      </c>
      <c r="AB7" s="46" t="s">
        <v>82</v>
      </c>
      <c r="AC7" s="46" t="s">
        <v>73</v>
      </c>
      <c r="AD7" s="46" t="s">
        <v>312</v>
      </c>
      <c r="AE7" s="46" t="s">
        <v>80</v>
      </c>
      <c r="AF7" s="46">
        <v>32</v>
      </c>
      <c r="AG7" s="46">
        <v>33</v>
      </c>
      <c r="AH7" s="89"/>
      <c r="AI7" s="90"/>
      <c r="AJ7" s="91"/>
      <c r="AK7" s="92"/>
      <c r="AL7" s="92"/>
      <c r="AM7" s="92"/>
      <c r="AN7" s="92"/>
      <c r="AO7" s="92"/>
      <c r="AP7" s="92"/>
      <c r="AQ7" s="92"/>
      <c r="AR7" s="92"/>
      <c r="AS7" s="92"/>
      <c r="AT7" s="92"/>
      <c r="AU7" s="92"/>
      <c r="AV7" s="92"/>
      <c r="AW7" s="92"/>
      <c r="AX7" s="92"/>
      <c r="AY7" s="92"/>
      <c r="AZ7" s="92"/>
      <c r="BA7" s="92"/>
      <c r="BB7" s="92"/>
      <c r="BC7" s="92"/>
      <c r="BD7" s="92"/>
      <c r="BE7" s="92"/>
      <c r="BF7" s="92"/>
      <c r="BG7" s="92"/>
      <c r="BH7" s="92"/>
      <c r="BI7" s="92"/>
      <c r="BJ7" s="92"/>
      <c r="BK7" s="92"/>
      <c r="BL7" s="92"/>
      <c r="BM7" s="92"/>
      <c r="BN7" s="92"/>
      <c r="BO7" s="92"/>
      <c r="BP7" s="92"/>
      <c r="BQ7" s="92"/>
      <c r="BR7" s="92"/>
      <c r="BS7" s="92"/>
      <c r="BT7" s="92"/>
      <c r="BU7" s="92"/>
      <c r="BV7" s="92"/>
      <c r="BW7" s="92"/>
      <c r="BX7" s="92"/>
      <c r="BY7" s="92"/>
      <c r="BZ7" s="92"/>
      <c r="CA7" s="92"/>
      <c r="CB7" s="92"/>
      <c r="CC7" s="92"/>
      <c r="CD7" s="92"/>
      <c r="CE7" s="92"/>
      <c r="CF7" s="92"/>
      <c r="CG7" s="92"/>
      <c r="CH7" s="92"/>
      <c r="CI7" s="92"/>
      <c r="CJ7" s="92"/>
      <c r="CK7" s="92"/>
      <c r="CL7" s="92"/>
      <c r="CM7" s="92"/>
      <c r="CN7" s="92"/>
      <c r="CO7" s="92"/>
      <c r="CP7" s="92"/>
      <c r="CQ7" s="92"/>
      <c r="CR7" s="92"/>
      <c r="CS7" s="92"/>
      <c r="CT7" s="92"/>
      <c r="CU7" s="92"/>
      <c r="CV7" s="92"/>
      <c r="CW7" s="92"/>
      <c r="CX7" s="92"/>
      <c r="CY7" s="92"/>
      <c r="CZ7" s="92"/>
      <c r="DA7" s="92"/>
      <c r="DB7" s="92"/>
      <c r="DC7" s="92"/>
      <c r="DD7" s="92"/>
      <c r="DE7" s="92"/>
      <c r="DF7" s="92"/>
      <c r="DG7" s="92"/>
      <c r="DH7" s="92"/>
      <c r="DI7" s="92"/>
      <c r="DJ7" s="92"/>
      <c r="DK7" s="92"/>
      <c r="DL7" s="92"/>
      <c r="DM7" s="92"/>
      <c r="DN7" s="92"/>
      <c r="DO7" s="92"/>
      <c r="DP7" s="92"/>
      <c r="DQ7" s="92"/>
      <c r="DR7" s="92"/>
      <c r="DS7" s="92"/>
      <c r="DT7" s="92"/>
      <c r="DU7" s="92"/>
      <c r="DV7" s="92"/>
      <c r="DW7" s="92"/>
      <c r="DX7" s="92"/>
      <c r="DY7" s="92"/>
      <c r="DZ7" s="92"/>
      <c r="EA7" s="92"/>
      <c r="EB7" s="92"/>
      <c r="EC7" s="92"/>
      <c r="ED7" s="92"/>
      <c r="EE7" s="92"/>
      <c r="EF7" s="92"/>
      <c r="EG7" s="92"/>
      <c r="EH7" s="92"/>
      <c r="EI7" s="92"/>
      <c r="EJ7" s="92"/>
      <c r="EK7" s="92"/>
      <c r="EL7" s="92"/>
      <c r="EM7" s="92"/>
      <c r="EN7" s="92"/>
      <c r="EO7" s="92"/>
      <c r="EP7" s="92"/>
      <c r="EQ7" s="92"/>
      <c r="ER7" s="92"/>
      <c r="ES7" s="92"/>
      <c r="ET7" s="92"/>
      <c r="EU7" s="92"/>
      <c r="EV7" s="92"/>
      <c r="EW7" s="92"/>
      <c r="EX7" s="92"/>
      <c r="EY7" s="92"/>
      <c r="EZ7" s="92"/>
      <c r="FA7" s="92"/>
      <c r="FB7" s="92"/>
      <c r="FC7" s="92"/>
      <c r="FD7" s="92"/>
      <c r="FE7" s="92"/>
      <c r="FF7" s="92"/>
      <c r="FG7" s="92"/>
      <c r="FH7" s="92"/>
      <c r="FI7" s="92"/>
      <c r="FJ7" s="92"/>
      <c r="FK7" s="92"/>
      <c r="FL7" s="92"/>
      <c r="FM7" s="92"/>
      <c r="FN7" s="92"/>
      <c r="FO7" s="92"/>
      <c r="FP7" s="92"/>
      <c r="FQ7" s="92"/>
      <c r="FR7" s="92"/>
      <c r="FS7" s="92"/>
      <c r="FT7" s="92"/>
      <c r="FU7" s="92"/>
      <c r="FV7" s="92"/>
      <c r="FW7" s="92"/>
      <c r="FX7" s="92"/>
      <c r="FY7" s="92"/>
      <c r="FZ7" s="92"/>
      <c r="GA7" s="92"/>
      <c r="GB7" s="92"/>
      <c r="GC7" s="92"/>
      <c r="GD7" s="92"/>
      <c r="GE7" s="92"/>
      <c r="GF7" s="92"/>
      <c r="GG7" s="92"/>
      <c r="GH7" s="92"/>
      <c r="GI7" s="92"/>
      <c r="GJ7" s="92"/>
      <c r="GK7" s="92"/>
      <c r="GL7" s="92"/>
      <c r="GM7" s="92"/>
      <c r="GN7" s="92"/>
      <c r="GO7" s="92"/>
      <c r="GP7" s="92"/>
      <c r="GQ7" s="92"/>
      <c r="GR7" s="92"/>
      <c r="GS7" s="92"/>
      <c r="GT7" s="92"/>
      <c r="GU7" s="92"/>
      <c r="GV7" s="92"/>
      <c r="GW7" s="92"/>
      <c r="GX7" s="92"/>
      <c r="GY7" s="92"/>
      <c r="GZ7" s="92"/>
      <c r="HA7" s="92"/>
      <c r="HB7" s="92"/>
      <c r="HC7" s="92"/>
      <c r="HD7" s="92"/>
      <c r="HE7" s="92"/>
      <c r="HF7" s="92"/>
      <c r="HG7" s="92"/>
      <c r="HH7" s="92"/>
      <c r="HI7" s="92"/>
      <c r="HJ7" s="92"/>
      <c r="HK7" s="92"/>
      <c r="HL7" s="92"/>
      <c r="HM7" s="92"/>
      <c r="HN7" s="92"/>
      <c r="HO7" s="92"/>
      <c r="HP7" s="92"/>
      <c r="HQ7" s="92"/>
      <c r="HR7" s="92"/>
      <c r="HS7" s="92"/>
      <c r="HT7" s="92"/>
      <c r="HU7" s="92"/>
      <c r="HV7" s="92"/>
      <c r="HW7" s="92"/>
      <c r="HX7" s="92"/>
      <c r="HY7" s="92"/>
      <c r="HZ7" s="92"/>
      <c r="IA7" s="92"/>
      <c r="IB7" s="92"/>
      <c r="IC7" s="92"/>
      <c r="ID7" s="92"/>
      <c r="IE7" s="92"/>
      <c r="IF7" s="92"/>
      <c r="IG7" s="92"/>
      <c r="IH7" s="92"/>
      <c r="II7" s="92"/>
      <c r="IJ7" s="92"/>
      <c r="IK7" s="92"/>
      <c r="IL7" s="92"/>
      <c r="IM7" s="92"/>
      <c r="IN7" s="92"/>
      <c r="IO7" s="92"/>
    </row>
    <row r="8" spans="1:249" s="2" customFormat="1" ht="23.25" customHeight="1" x14ac:dyDescent="0.25">
      <c r="A8" s="94">
        <v>1</v>
      </c>
      <c r="B8" s="95" t="s">
        <v>88</v>
      </c>
      <c r="C8" s="500">
        <v>5</v>
      </c>
      <c r="D8" s="500">
        <v>98</v>
      </c>
      <c r="E8" s="501">
        <v>840</v>
      </c>
      <c r="F8" s="502" t="s">
        <v>201</v>
      </c>
      <c r="G8" s="210">
        <v>28</v>
      </c>
      <c r="H8" s="210">
        <v>684</v>
      </c>
      <c r="I8" s="211">
        <v>477.6</v>
      </c>
      <c r="J8" s="212" t="s">
        <v>7</v>
      </c>
      <c r="K8" s="48">
        <f>840-I9</f>
        <v>433.9</v>
      </c>
      <c r="L8" s="48">
        <f>I8+I9-840</f>
        <v>43.700000000000045</v>
      </c>
      <c r="M8" s="48"/>
      <c r="N8" s="49"/>
      <c r="O8" s="49"/>
      <c r="P8" s="49"/>
      <c r="Q8" s="50">
        <f t="shared" ref="Q8:Q85" si="0">K8+L8+M8+N8+O8+P8</f>
        <v>477.6</v>
      </c>
      <c r="R8" s="55" t="str">
        <f t="shared" ref="R8:R88" si="1">J8</f>
        <v>LUC</v>
      </c>
      <c r="S8" s="182"/>
      <c r="T8" s="40">
        <v>80000</v>
      </c>
      <c r="U8" s="40">
        <f t="shared" ref="U8:U42" si="2">(K8+L8+N8+O8)*T8</f>
        <v>38208000</v>
      </c>
      <c r="V8" s="158" t="s">
        <v>64</v>
      </c>
      <c r="W8" s="241" t="s">
        <v>24</v>
      </c>
      <c r="X8" s="242">
        <f t="shared" ref="X8:X9" si="3">Q8</f>
        <v>477.6</v>
      </c>
      <c r="Y8" s="41">
        <v>9000</v>
      </c>
      <c r="Z8" s="42">
        <v>1</v>
      </c>
      <c r="AA8" s="40">
        <f t="shared" ref="AA8:AA84" si="4">X8*Y8*Z8</f>
        <v>4298400</v>
      </c>
      <c r="AB8" s="40">
        <f>(K8+L8+N8+O8)*T8*5</f>
        <v>191040000</v>
      </c>
      <c r="AC8" s="40">
        <f t="shared" ref="AC8:AC88" si="5">(K8+L8+N8+O8)*15000</f>
        <v>7164000</v>
      </c>
      <c r="AD8" s="40">
        <f>(M8+P8)*T8*100%</f>
        <v>0</v>
      </c>
      <c r="AE8" s="56">
        <f>U8+AA8+AB8+AC8+AD8</f>
        <v>240710400</v>
      </c>
      <c r="AF8" s="504">
        <f>AE8+AE9</f>
        <v>416505600</v>
      </c>
      <c r="AG8" s="44"/>
      <c r="AH8" s="43"/>
      <c r="AI8" s="3"/>
      <c r="AJ8" s="4"/>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row>
    <row r="9" spans="1:249" s="2" customFormat="1" ht="69" customHeight="1" x14ac:dyDescent="0.25">
      <c r="A9" s="94">
        <v>1</v>
      </c>
      <c r="B9" s="95" t="s">
        <v>88</v>
      </c>
      <c r="C9" s="500"/>
      <c r="D9" s="500"/>
      <c r="E9" s="501"/>
      <c r="F9" s="503"/>
      <c r="G9" s="210">
        <v>28</v>
      </c>
      <c r="H9" s="210">
        <v>718</v>
      </c>
      <c r="I9" s="211">
        <v>406.1</v>
      </c>
      <c r="J9" s="212" t="s">
        <v>7</v>
      </c>
      <c r="K9" s="48">
        <f>406.1-57.3</f>
        <v>348.8</v>
      </c>
      <c r="L9" s="48"/>
      <c r="M9" s="48"/>
      <c r="N9" s="49"/>
      <c r="O9" s="49"/>
      <c r="P9" s="49"/>
      <c r="Q9" s="50">
        <f t="shared" si="0"/>
        <v>348.8</v>
      </c>
      <c r="R9" s="55" t="str">
        <f t="shared" si="1"/>
        <v>LUC</v>
      </c>
      <c r="S9" s="182">
        <v>57.3</v>
      </c>
      <c r="T9" s="40">
        <v>80000</v>
      </c>
      <c r="U9" s="40">
        <f t="shared" si="2"/>
        <v>27904000</v>
      </c>
      <c r="V9" s="158" t="s">
        <v>64</v>
      </c>
      <c r="W9" s="241" t="s">
        <v>24</v>
      </c>
      <c r="X9" s="242">
        <f t="shared" si="3"/>
        <v>348.8</v>
      </c>
      <c r="Y9" s="41">
        <v>9000</v>
      </c>
      <c r="Z9" s="42">
        <v>1</v>
      </c>
      <c r="AA9" s="40">
        <f t="shared" si="4"/>
        <v>3139200</v>
      </c>
      <c r="AB9" s="40">
        <f t="shared" ref="AB9:AB83" si="6">(K9+L9+N9+O9)*T9*5</f>
        <v>139520000</v>
      </c>
      <c r="AC9" s="40">
        <f t="shared" si="5"/>
        <v>5232000</v>
      </c>
      <c r="AD9" s="40">
        <f t="shared" ref="AD9:AD73" si="7">(M9+P9)*T9*100%</f>
        <v>0</v>
      </c>
      <c r="AE9" s="56">
        <f t="shared" ref="AE9:AE83" si="8">U9+AA9+AB9+AC9+AD9</f>
        <v>175795200</v>
      </c>
      <c r="AF9" s="504"/>
      <c r="AG9" s="44" t="s">
        <v>195</v>
      </c>
      <c r="AH9" s="43"/>
      <c r="AI9" s="3"/>
      <c r="AJ9" s="4"/>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row>
    <row r="10" spans="1:249" s="2" customFormat="1" ht="27" customHeight="1" x14ac:dyDescent="0.25">
      <c r="A10" s="94">
        <v>2</v>
      </c>
      <c r="B10" s="156" t="s">
        <v>196</v>
      </c>
      <c r="C10" s="98">
        <v>5</v>
      </c>
      <c r="D10" s="98">
        <v>38</v>
      </c>
      <c r="E10" s="157">
        <v>720</v>
      </c>
      <c r="F10" s="98" t="s">
        <v>33</v>
      </c>
      <c r="G10" s="210">
        <v>29</v>
      </c>
      <c r="H10" s="210">
        <v>18</v>
      </c>
      <c r="I10" s="211">
        <v>816</v>
      </c>
      <c r="J10" s="213" t="s">
        <v>7</v>
      </c>
      <c r="K10" s="48">
        <v>720</v>
      </c>
      <c r="L10" s="48">
        <f>I10-K10</f>
        <v>96</v>
      </c>
      <c r="M10" s="48"/>
      <c r="N10" s="49"/>
      <c r="O10" s="49"/>
      <c r="P10" s="49"/>
      <c r="Q10" s="50">
        <f t="shared" si="0"/>
        <v>816</v>
      </c>
      <c r="R10" s="55" t="str">
        <f t="shared" si="1"/>
        <v>LUC</v>
      </c>
      <c r="S10" s="182"/>
      <c r="T10" s="40">
        <v>80000</v>
      </c>
      <c r="U10" s="40">
        <f t="shared" si="2"/>
        <v>65280000</v>
      </c>
      <c r="V10" s="158" t="s">
        <v>64</v>
      </c>
      <c r="W10" s="241" t="s">
        <v>24</v>
      </c>
      <c r="X10" s="242">
        <f>Q10</f>
        <v>816</v>
      </c>
      <c r="Y10" s="41">
        <v>9000</v>
      </c>
      <c r="Z10" s="42">
        <v>1</v>
      </c>
      <c r="AA10" s="40">
        <f t="shared" si="4"/>
        <v>7344000</v>
      </c>
      <c r="AB10" s="40">
        <f t="shared" si="6"/>
        <v>326400000</v>
      </c>
      <c r="AC10" s="40">
        <f t="shared" si="5"/>
        <v>12240000</v>
      </c>
      <c r="AD10" s="40">
        <f t="shared" si="7"/>
        <v>0</v>
      </c>
      <c r="AE10" s="56">
        <f t="shared" si="8"/>
        <v>411264000</v>
      </c>
      <c r="AF10" s="504">
        <f>SUM(AE10:AE18)</f>
        <v>915850600</v>
      </c>
      <c r="AG10" s="6"/>
      <c r="AH10" s="43"/>
      <c r="AI10" s="3"/>
      <c r="AJ10" s="4"/>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row>
    <row r="11" spans="1:249" s="2" customFormat="1" ht="24" x14ac:dyDescent="0.25">
      <c r="A11" s="94">
        <v>2</v>
      </c>
      <c r="B11" s="156" t="s">
        <v>196</v>
      </c>
      <c r="C11" s="251">
        <v>5</v>
      </c>
      <c r="D11" s="251">
        <v>77</v>
      </c>
      <c r="E11" s="231">
        <v>120</v>
      </c>
      <c r="F11" s="214" t="s">
        <v>33</v>
      </c>
      <c r="G11" s="210">
        <v>28</v>
      </c>
      <c r="H11" s="210">
        <v>461</v>
      </c>
      <c r="I11" s="211">
        <v>146.80000000000001</v>
      </c>
      <c r="J11" s="213" t="s">
        <v>7</v>
      </c>
      <c r="K11" s="48">
        <v>120</v>
      </c>
      <c r="L11" s="48">
        <f t="shared" ref="L11:L16" si="9">I11-K11</f>
        <v>26.800000000000011</v>
      </c>
      <c r="M11" s="48"/>
      <c r="N11" s="49"/>
      <c r="O11" s="49"/>
      <c r="P11" s="49"/>
      <c r="Q11" s="50">
        <f t="shared" si="0"/>
        <v>146.80000000000001</v>
      </c>
      <c r="R11" s="55" t="str">
        <f t="shared" si="1"/>
        <v>LUC</v>
      </c>
      <c r="S11" s="183"/>
      <c r="T11" s="40">
        <v>80000</v>
      </c>
      <c r="U11" s="40">
        <f t="shared" si="2"/>
        <v>11744000</v>
      </c>
      <c r="V11" s="158" t="s">
        <v>64</v>
      </c>
      <c r="W11" s="241" t="s">
        <v>24</v>
      </c>
      <c r="X11" s="242">
        <f t="shared" ref="X11:X13" si="10">Q11</f>
        <v>146.80000000000001</v>
      </c>
      <c r="Y11" s="41">
        <v>9000</v>
      </c>
      <c r="Z11" s="42">
        <v>1</v>
      </c>
      <c r="AA11" s="40">
        <f t="shared" si="4"/>
        <v>1321200</v>
      </c>
      <c r="AB11" s="40">
        <f t="shared" si="6"/>
        <v>58720000</v>
      </c>
      <c r="AC11" s="40">
        <f t="shared" si="5"/>
        <v>2202000</v>
      </c>
      <c r="AD11" s="40">
        <f t="shared" si="7"/>
        <v>0</v>
      </c>
      <c r="AE11" s="56">
        <f t="shared" si="8"/>
        <v>73987200</v>
      </c>
      <c r="AF11" s="504"/>
      <c r="AG11" s="69"/>
      <c r="AH11" s="43"/>
      <c r="AI11" s="3"/>
      <c r="AJ11" s="4"/>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row>
    <row r="12" spans="1:249" s="2" customFormat="1" ht="24" x14ac:dyDescent="0.25">
      <c r="A12" s="94">
        <v>2</v>
      </c>
      <c r="B12" s="156" t="s">
        <v>196</v>
      </c>
      <c r="C12" s="251">
        <v>5</v>
      </c>
      <c r="D12" s="251">
        <v>64</v>
      </c>
      <c r="E12" s="231">
        <v>288</v>
      </c>
      <c r="F12" s="214" t="s">
        <v>33</v>
      </c>
      <c r="G12" s="210">
        <v>28</v>
      </c>
      <c r="H12" s="210">
        <v>783</v>
      </c>
      <c r="I12" s="211">
        <v>377.9</v>
      </c>
      <c r="J12" s="213" t="s">
        <v>7</v>
      </c>
      <c r="K12" s="48">
        <v>288</v>
      </c>
      <c r="L12" s="48">
        <f t="shared" si="9"/>
        <v>89.899999999999977</v>
      </c>
      <c r="M12" s="48"/>
      <c r="N12" s="49"/>
      <c r="O12" s="49"/>
      <c r="P12" s="49"/>
      <c r="Q12" s="50">
        <f t="shared" si="0"/>
        <v>377.9</v>
      </c>
      <c r="R12" s="55" t="str">
        <f t="shared" si="1"/>
        <v>LUC</v>
      </c>
      <c r="S12" s="183"/>
      <c r="T12" s="40">
        <v>80000</v>
      </c>
      <c r="U12" s="40">
        <f t="shared" si="2"/>
        <v>30232000</v>
      </c>
      <c r="V12" s="158" t="s">
        <v>64</v>
      </c>
      <c r="W12" s="241" t="s">
        <v>24</v>
      </c>
      <c r="X12" s="242">
        <f t="shared" si="10"/>
        <v>377.9</v>
      </c>
      <c r="Y12" s="41">
        <v>9000</v>
      </c>
      <c r="Z12" s="42">
        <v>1</v>
      </c>
      <c r="AA12" s="40">
        <f t="shared" si="4"/>
        <v>3401100</v>
      </c>
      <c r="AB12" s="40">
        <f t="shared" si="6"/>
        <v>151160000</v>
      </c>
      <c r="AC12" s="40">
        <f t="shared" si="5"/>
        <v>5668500</v>
      </c>
      <c r="AD12" s="40">
        <f t="shared" si="7"/>
        <v>0</v>
      </c>
      <c r="AE12" s="56">
        <f t="shared" si="8"/>
        <v>190461600</v>
      </c>
      <c r="AF12" s="504"/>
      <c r="AG12" s="6"/>
      <c r="AH12" s="43"/>
      <c r="AI12" s="3"/>
      <c r="AJ12" s="4"/>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row>
    <row r="13" spans="1:249" s="2" customFormat="1" ht="24" x14ac:dyDescent="0.25">
      <c r="A13" s="94">
        <v>2</v>
      </c>
      <c r="B13" s="156" t="s">
        <v>196</v>
      </c>
      <c r="C13" s="251">
        <v>5</v>
      </c>
      <c r="D13" s="251">
        <v>64</v>
      </c>
      <c r="E13" s="231">
        <v>144</v>
      </c>
      <c r="F13" s="214" t="s">
        <v>33</v>
      </c>
      <c r="G13" s="210">
        <v>28</v>
      </c>
      <c r="H13" s="210">
        <v>782</v>
      </c>
      <c r="I13" s="211">
        <v>441.7</v>
      </c>
      <c r="J13" s="213" t="s">
        <v>7</v>
      </c>
      <c r="K13" s="48">
        <v>144</v>
      </c>
      <c r="L13" s="48">
        <f>441.7-240-144</f>
        <v>57.699999999999989</v>
      </c>
      <c r="M13" s="48"/>
      <c r="N13" s="49"/>
      <c r="O13" s="49"/>
      <c r="P13" s="49"/>
      <c r="Q13" s="50">
        <f t="shared" si="0"/>
        <v>201.7</v>
      </c>
      <c r="R13" s="55" t="str">
        <f t="shared" si="1"/>
        <v>LUC</v>
      </c>
      <c r="S13" s="183"/>
      <c r="T13" s="40">
        <v>80000</v>
      </c>
      <c r="U13" s="40">
        <f t="shared" si="2"/>
        <v>16136000</v>
      </c>
      <c r="V13" s="158" t="s">
        <v>64</v>
      </c>
      <c r="W13" s="241" t="s">
        <v>24</v>
      </c>
      <c r="X13" s="242">
        <f t="shared" si="10"/>
        <v>201.7</v>
      </c>
      <c r="Y13" s="41">
        <v>9000</v>
      </c>
      <c r="Z13" s="42">
        <v>1</v>
      </c>
      <c r="AA13" s="40">
        <f t="shared" si="4"/>
        <v>1815300</v>
      </c>
      <c r="AB13" s="40">
        <f t="shared" si="6"/>
        <v>80680000</v>
      </c>
      <c r="AC13" s="40">
        <f t="shared" si="5"/>
        <v>3025500</v>
      </c>
      <c r="AD13" s="40">
        <f t="shared" si="7"/>
        <v>0</v>
      </c>
      <c r="AE13" s="56">
        <f t="shared" si="8"/>
        <v>101656800</v>
      </c>
      <c r="AF13" s="504"/>
      <c r="AG13" s="69" t="s">
        <v>198</v>
      </c>
      <c r="AH13" s="43"/>
      <c r="AI13" s="3"/>
      <c r="AJ13" s="4"/>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row>
    <row r="14" spans="1:249" s="2" customFormat="1" ht="48" x14ac:dyDescent="0.25">
      <c r="A14" s="94">
        <v>2</v>
      </c>
      <c r="B14" s="156" t="s">
        <v>196</v>
      </c>
      <c r="C14" s="490" t="s">
        <v>40</v>
      </c>
      <c r="D14" s="490"/>
      <c r="E14" s="491">
        <v>240</v>
      </c>
      <c r="F14" s="215" t="s">
        <v>46</v>
      </c>
      <c r="G14" s="210">
        <v>28</v>
      </c>
      <c r="H14" s="210">
        <v>779</v>
      </c>
      <c r="I14" s="211">
        <v>69.5</v>
      </c>
      <c r="J14" s="213" t="s">
        <v>43</v>
      </c>
      <c r="K14" s="48"/>
      <c r="L14" s="48">
        <f t="shared" si="9"/>
        <v>69.5</v>
      </c>
      <c r="M14" s="48"/>
      <c r="N14" s="49"/>
      <c r="O14" s="49"/>
      <c r="P14" s="49"/>
      <c r="Q14" s="50">
        <f t="shared" si="0"/>
        <v>69.5</v>
      </c>
      <c r="R14" s="55" t="s">
        <v>86</v>
      </c>
      <c r="S14" s="183"/>
      <c r="T14" s="40">
        <v>80000</v>
      </c>
      <c r="U14" s="40">
        <f t="shared" si="2"/>
        <v>5560000</v>
      </c>
      <c r="V14" s="240" t="s">
        <v>212</v>
      </c>
      <c r="W14" s="241" t="s">
        <v>61</v>
      </c>
      <c r="X14" s="242">
        <v>3</v>
      </c>
      <c r="Y14" s="41">
        <v>575000</v>
      </c>
      <c r="Z14" s="42">
        <v>0.8</v>
      </c>
      <c r="AA14" s="40">
        <f t="shared" si="4"/>
        <v>1380000</v>
      </c>
      <c r="AB14" s="40">
        <f t="shared" si="6"/>
        <v>27800000</v>
      </c>
      <c r="AC14" s="40">
        <f t="shared" si="5"/>
        <v>1042500</v>
      </c>
      <c r="AD14" s="40">
        <f t="shared" si="7"/>
        <v>0</v>
      </c>
      <c r="AE14" s="56">
        <f t="shared" si="8"/>
        <v>35782500</v>
      </c>
      <c r="AF14" s="504"/>
      <c r="AG14" s="69"/>
      <c r="AH14" s="43"/>
      <c r="AI14" s="3"/>
      <c r="AJ14" s="4"/>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row>
    <row r="15" spans="1:249" s="163" customFormat="1" ht="90" x14ac:dyDescent="0.25">
      <c r="A15" s="94">
        <v>2</v>
      </c>
      <c r="B15" s="156" t="s">
        <v>196</v>
      </c>
      <c r="C15" s="490"/>
      <c r="D15" s="490"/>
      <c r="E15" s="491"/>
      <c r="F15" s="215" t="s">
        <v>46</v>
      </c>
      <c r="G15" s="210">
        <v>28</v>
      </c>
      <c r="H15" s="210">
        <v>779</v>
      </c>
      <c r="I15" s="211"/>
      <c r="J15" s="213"/>
      <c r="K15" s="48"/>
      <c r="L15" s="48"/>
      <c r="M15" s="48"/>
      <c r="N15" s="49"/>
      <c r="O15" s="49"/>
      <c r="P15" s="49"/>
      <c r="Q15" s="50"/>
      <c r="R15" s="55"/>
      <c r="S15" s="183"/>
      <c r="T15" s="40"/>
      <c r="U15" s="40">
        <f t="shared" si="2"/>
        <v>0</v>
      </c>
      <c r="V15" s="240" t="s">
        <v>197</v>
      </c>
      <c r="W15" s="241" t="s">
        <v>61</v>
      </c>
      <c r="X15" s="242">
        <v>4</v>
      </c>
      <c r="Y15" s="263">
        <f>305000*90%</f>
        <v>274500</v>
      </c>
      <c r="Z15" s="70">
        <v>0.8</v>
      </c>
      <c r="AA15" s="179">
        <f t="shared" si="4"/>
        <v>878400</v>
      </c>
      <c r="AB15" s="40">
        <f t="shared" si="6"/>
        <v>0</v>
      </c>
      <c r="AC15" s="40">
        <f t="shared" si="5"/>
        <v>0</v>
      </c>
      <c r="AD15" s="40">
        <f t="shared" si="7"/>
        <v>0</v>
      </c>
      <c r="AE15" s="56">
        <f t="shared" si="8"/>
        <v>878400</v>
      </c>
      <c r="AF15" s="504"/>
      <c r="AG15" s="264" t="s">
        <v>265</v>
      </c>
      <c r="AH15" s="159"/>
      <c r="AI15" s="160"/>
      <c r="AJ15" s="161"/>
      <c r="AK15" s="162"/>
      <c r="AL15" s="162"/>
      <c r="AM15" s="162"/>
      <c r="AN15" s="162"/>
      <c r="AO15" s="162"/>
      <c r="AP15" s="162"/>
      <c r="AQ15" s="162"/>
      <c r="AR15" s="162"/>
      <c r="AS15" s="162"/>
      <c r="AT15" s="162"/>
      <c r="AU15" s="162"/>
      <c r="AV15" s="162"/>
      <c r="AW15" s="162"/>
      <c r="AX15" s="162"/>
      <c r="AY15" s="162"/>
      <c r="AZ15" s="162"/>
      <c r="BA15" s="162"/>
      <c r="BB15" s="162"/>
      <c r="BC15" s="162"/>
      <c r="BD15" s="162"/>
      <c r="BE15" s="162"/>
      <c r="BF15" s="162"/>
      <c r="BG15" s="162"/>
      <c r="BH15" s="162"/>
      <c r="BI15" s="162"/>
      <c r="BJ15" s="162"/>
      <c r="BK15" s="162"/>
      <c r="BL15" s="162"/>
      <c r="BM15" s="162"/>
      <c r="BN15" s="162"/>
      <c r="BO15" s="162"/>
      <c r="BP15" s="162"/>
      <c r="BQ15" s="162"/>
      <c r="BR15" s="162"/>
      <c r="BS15" s="162"/>
      <c r="BT15" s="162"/>
      <c r="BU15" s="162"/>
      <c r="BV15" s="162"/>
      <c r="BW15" s="162"/>
      <c r="BX15" s="162"/>
      <c r="BY15" s="162"/>
      <c r="BZ15" s="162"/>
      <c r="CA15" s="162"/>
      <c r="CB15" s="162"/>
      <c r="CC15" s="162"/>
      <c r="CD15" s="162"/>
      <c r="CE15" s="162"/>
      <c r="CF15" s="162"/>
      <c r="CG15" s="162"/>
      <c r="CH15" s="162"/>
      <c r="CI15" s="162"/>
      <c r="CJ15" s="162"/>
      <c r="CK15" s="162"/>
      <c r="CL15" s="162"/>
      <c r="CM15" s="162"/>
      <c r="CN15" s="162"/>
      <c r="CO15" s="162"/>
      <c r="CP15" s="162"/>
      <c r="CQ15" s="162"/>
      <c r="CR15" s="162"/>
      <c r="CS15" s="162"/>
      <c r="CT15" s="162"/>
      <c r="CU15" s="162"/>
      <c r="CV15" s="162"/>
      <c r="CW15" s="162"/>
      <c r="CX15" s="162"/>
      <c r="CY15" s="162"/>
      <c r="CZ15" s="162"/>
      <c r="DA15" s="162"/>
      <c r="DB15" s="162"/>
      <c r="DC15" s="162"/>
      <c r="DD15" s="162"/>
      <c r="DE15" s="162"/>
      <c r="DF15" s="162"/>
      <c r="DG15" s="162"/>
      <c r="DH15" s="162"/>
      <c r="DI15" s="162"/>
      <c r="DJ15" s="162"/>
      <c r="DK15" s="162"/>
      <c r="DL15" s="162"/>
      <c r="DM15" s="162"/>
      <c r="DN15" s="162"/>
      <c r="DO15" s="162"/>
      <c r="DP15" s="162"/>
      <c r="DQ15" s="162"/>
      <c r="DR15" s="162"/>
      <c r="DS15" s="162"/>
      <c r="DT15" s="162"/>
      <c r="DU15" s="162"/>
      <c r="DV15" s="162"/>
      <c r="DW15" s="162"/>
      <c r="DX15" s="162"/>
      <c r="DY15" s="162"/>
      <c r="DZ15" s="162"/>
      <c r="EA15" s="162"/>
      <c r="EB15" s="162"/>
      <c r="EC15" s="162"/>
      <c r="ED15" s="162"/>
      <c r="EE15" s="162"/>
      <c r="EF15" s="162"/>
      <c r="EG15" s="162"/>
      <c r="EH15" s="162"/>
      <c r="EI15" s="162"/>
      <c r="EJ15" s="162"/>
      <c r="EK15" s="162"/>
      <c r="EL15" s="162"/>
      <c r="EM15" s="162"/>
      <c r="EN15" s="162"/>
      <c r="EO15" s="162"/>
      <c r="EP15" s="162"/>
      <c r="EQ15" s="162"/>
      <c r="ER15" s="162"/>
      <c r="ES15" s="162"/>
      <c r="ET15" s="162"/>
      <c r="EU15" s="162"/>
      <c r="EV15" s="162"/>
      <c r="EW15" s="162"/>
      <c r="EX15" s="162"/>
      <c r="EY15" s="162"/>
      <c r="EZ15" s="162"/>
      <c r="FA15" s="162"/>
      <c r="FB15" s="162"/>
      <c r="FC15" s="162"/>
      <c r="FD15" s="162"/>
      <c r="FE15" s="162"/>
      <c r="FF15" s="162"/>
      <c r="FG15" s="162"/>
      <c r="FH15" s="162"/>
      <c r="FI15" s="162"/>
      <c r="FJ15" s="162"/>
      <c r="FK15" s="162"/>
      <c r="FL15" s="162"/>
      <c r="FM15" s="162"/>
      <c r="FN15" s="162"/>
      <c r="FO15" s="162"/>
      <c r="FP15" s="162"/>
      <c r="FQ15" s="162"/>
      <c r="FR15" s="162"/>
      <c r="FS15" s="162"/>
      <c r="FT15" s="162"/>
      <c r="FU15" s="162"/>
      <c r="FV15" s="162"/>
      <c r="FW15" s="162"/>
      <c r="FX15" s="162"/>
      <c r="FY15" s="162"/>
      <c r="FZ15" s="162"/>
      <c r="GA15" s="162"/>
      <c r="GB15" s="162"/>
      <c r="GC15" s="162"/>
      <c r="GD15" s="162"/>
      <c r="GE15" s="162"/>
      <c r="GF15" s="162"/>
      <c r="GG15" s="162"/>
      <c r="GH15" s="162"/>
      <c r="GI15" s="162"/>
      <c r="GJ15" s="162"/>
      <c r="GK15" s="162"/>
      <c r="GL15" s="162"/>
      <c r="GM15" s="162"/>
      <c r="GN15" s="162"/>
      <c r="GO15" s="162"/>
      <c r="GP15" s="162"/>
      <c r="GQ15" s="162"/>
      <c r="GR15" s="162"/>
      <c r="GS15" s="162"/>
      <c r="GT15" s="162"/>
      <c r="GU15" s="162"/>
      <c r="GV15" s="162"/>
      <c r="GW15" s="162"/>
      <c r="GX15" s="162"/>
      <c r="GY15" s="162"/>
      <c r="GZ15" s="162"/>
      <c r="HA15" s="162"/>
      <c r="HB15" s="162"/>
      <c r="HC15" s="162"/>
      <c r="HD15" s="162"/>
      <c r="HE15" s="162"/>
      <c r="HF15" s="162"/>
      <c r="HG15" s="162"/>
      <c r="HH15" s="162"/>
      <c r="HI15" s="162"/>
      <c r="HJ15" s="162"/>
      <c r="HK15" s="162"/>
      <c r="HL15" s="162"/>
      <c r="HM15" s="162"/>
      <c r="HN15" s="162"/>
      <c r="HO15" s="162"/>
      <c r="HP15" s="162"/>
      <c r="HQ15" s="162"/>
      <c r="HR15" s="162"/>
      <c r="HS15" s="162"/>
      <c r="HT15" s="162"/>
      <c r="HU15" s="162"/>
      <c r="HV15" s="162"/>
      <c r="HW15" s="162"/>
      <c r="HX15" s="162"/>
      <c r="HY15" s="162"/>
      <c r="HZ15" s="162"/>
      <c r="IA15" s="162"/>
      <c r="IB15" s="162"/>
      <c r="IC15" s="162"/>
      <c r="ID15" s="162"/>
      <c r="IE15" s="162"/>
      <c r="IF15" s="162"/>
      <c r="IG15" s="162"/>
      <c r="IH15" s="162"/>
      <c r="II15" s="162"/>
      <c r="IJ15" s="162"/>
      <c r="IK15" s="162"/>
      <c r="IL15" s="162"/>
      <c r="IM15" s="162"/>
      <c r="IN15" s="162"/>
      <c r="IO15" s="162"/>
    </row>
    <row r="16" spans="1:249" s="2" customFormat="1" ht="48" x14ac:dyDescent="0.25">
      <c r="A16" s="94">
        <v>2</v>
      </c>
      <c r="B16" s="156" t="s">
        <v>196</v>
      </c>
      <c r="C16" s="490"/>
      <c r="D16" s="490"/>
      <c r="E16" s="491"/>
      <c r="F16" s="215" t="s">
        <v>46</v>
      </c>
      <c r="G16" s="210">
        <v>28</v>
      </c>
      <c r="H16" s="210">
        <v>780</v>
      </c>
      <c r="I16" s="211">
        <v>90.3</v>
      </c>
      <c r="J16" s="213" t="s">
        <v>43</v>
      </c>
      <c r="K16" s="48"/>
      <c r="L16" s="48">
        <f t="shared" si="9"/>
        <v>90.3</v>
      </c>
      <c r="M16" s="48"/>
      <c r="N16" s="49"/>
      <c r="O16" s="49"/>
      <c r="P16" s="49"/>
      <c r="Q16" s="50">
        <f t="shared" si="0"/>
        <v>90.3</v>
      </c>
      <c r="R16" s="55" t="s">
        <v>86</v>
      </c>
      <c r="S16" s="183"/>
      <c r="T16" s="40">
        <v>80000</v>
      </c>
      <c r="U16" s="40">
        <f t="shared" si="2"/>
        <v>7224000</v>
      </c>
      <c r="V16" s="240" t="s">
        <v>212</v>
      </c>
      <c r="W16" s="241" t="s">
        <v>61</v>
      </c>
      <c r="X16" s="242">
        <v>4</v>
      </c>
      <c r="Y16" s="41">
        <v>575000</v>
      </c>
      <c r="Z16" s="42">
        <v>0.8</v>
      </c>
      <c r="AA16" s="40">
        <f t="shared" si="4"/>
        <v>1840000</v>
      </c>
      <c r="AB16" s="40">
        <f t="shared" si="6"/>
        <v>36120000</v>
      </c>
      <c r="AC16" s="40">
        <f t="shared" si="5"/>
        <v>1354500</v>
      </c>
      <c r="AD16" s="40">
        <f t="shared" si="7"/>
        <v>0</v>
      </c>
      <c r="AE16" s="56">
        <f t="shared" si="8"/>
        <v>46538500</v>
      </c>
      <c r="AF16" s="504"/>
      <c r="AG16" s="6"/>
      <c r="AH16" s="43">
        <f>AH17-90.3</f>
        <v>234.7</v>
      </c>
      <c r="AI16" s="3"/>
      <c r="AJ16" s="4"/>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row>
    <row r="17" spans="1:249" s="2" customFormat="1" ht="90" x14ac:dyDescent="0.25">
      <c r="A17" s="94">
        <v>2</v>
      </c>
      <c r="B17" s="156" t="s">
        <v>196</v>
      </c>
      <c r="C17" s="490"/>
      <c r="D17" s="490"/>
      <c r="E17" s="491"/>
      <c r="F17" s="215" t="s">
        <v>46</v>
      </c>
      <c r="G17" s="210">
        <v>28</v>
      </c>
      <c r="H17" s="210">
        <v>780</v>
      </c>
      <c r="I17" s="211"/>
      <c r="J17" s="213"/>
      <c r="K17" s="48"/>
      <c r="L17" s="48"/>
      <c r="M17" s="48"/>
      <c r="N17" s="49"/>
      <c r="O17" s="49"/>
      <c r="P17" s="49"/>
      <c r="Q17" s="50"/>
      <c r="R17" s="55"/>
      <c r="S17" s="183"/>
      <c r="T17" s="40"/>
      <c r="U17" s="40">
        <f t="shared" si="2"/>
        <v>0</v>
      </c>
      <c r="V17" s="240" t="s">
        <v>197</v>
      </c>
      <c r="W17" s="241" t="s">
        <v>61</v>
      </c>
      <c r="X17" s="242">
        <v>9</v>
      </c>
      <c r="Y17" s="263">
        <f>305000*80%</f>
        <v>244000</v>
      </c>
      <c r="Z17" s="70">
        <v>0.8</v>
      </c>
      <c r="AA17" s="40">
        <f t="shared" si="4"/>
        <v>1756800</v>
      </c>
      <c r="AB17" s="40">
        <f t="shared" si="6"/>
        <v>0</v>
      </c>
      <c r="AC17" s="40">
        <f t="shared" si="5"/>
        <v>0</v>
      </c>
      <c r="AD17" s="40">
        <f t="shared" si="7"/>
        <v>0</v>
      </c>
      <c r="AE17" s="56">
        <f t="shared" si="8"/>
        <v>1756800</v>
      </c>
      <c r="AF17" s="504"/>
      <c r="AG17" s="264" t="s">
        <v>264</v>
      </c>
      <c r="AH17" s="43">
        <f>13*25</f>
        <v>325</v>
      </c>
      <c r="AI17" s="3"/>
      <c r="AJ17" s="4"/>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row>
    <row r="18" spans="1:249" s="2" customFormat="1" ht="33.75" x14ac:dyDescent="0.25">
      <c r="A18" s="94">
        <v>2</v>
      </c>
      <c r="B18" s="156" t="s">
        <v>196</v>
      </c>
      <c r="C18" s="490"/>
      <c r="D18" s="490"/>
      <c r="E18" s="491"/>
      <c r="F18" s="215" t="s">
        <v>46</v>
      </c>
      <c r="G18" s="210">
        <v>28</v>
      </c>
      <c r="H18" s="210">
        <v>731</v>
      </c>
      <c r="I18" s="211">
        <v>171.8</v>
      </c>
      <c r="J18" s="213" t="s">
        <v>43</v>
      </c>
      <c r="K18" s="48"/>
      <c r="L18" s="48">
        <v>106.2</v>
      </c>
      <c r="M18" s="48"/>
      <c r="N18" s="49"/>
      <c r="O18" s="49"/>
      <c r="P18" s="49"/>
      <c r="Q18" s="50">
        <f t="shared" ref="Q18" si="11">K18+L18+M18+N18+O18+P18</f>
        <v>106.2</v>
      </c>
      <c r="R18" s="55" t="s">
        <v>86</v>
      </c>
      <c r="S18" s="183"/>
      <c r="T18" s="40">
        <v>80000</v>
      </c>
      <c r="U18" s="40">
        <f t="shared" si="2"/>
        <v>8496000</v>
      </c>
      <c r="V18" s="96" t="s">
        <v>64</v>
      </c>
      <c r="W18" s="241" t="s">
        <v>24</v>
      </c>
      <c r="X18" s="242">
        <f>Q18</f>
        <v>106.2</v>
      </c>
      <c r="Y18" s="41">
        <v>9000</v>
      </c>
      <c r="Z18" s="42">
        <v>1</v>
      </c>
      <c r="AA18" s="40">
        <f t="shared" si="4"/>
        <v>955800</v>
      </c>
      <c r="AB18" s="40">
        <f t="shared" si="6"/>
        <v>42480000</v>
      </c>
      <c r="AC18" s="40">
        <f t="shared" si="5"/>
        <v>1593000</v>
      </c>
      <c r="AD18" s="40">
        <f t="shared" si="7"/>
        <v>0</v>
      </c>
      <c r="AE18" s="56">
        <f t="shared" si="8"/>
        <v>53524800</v>
      </c>
      <c r="AF18" s="504"/>
      <c r="AG18" s="69" t="s">
        <v>263</v>
      </c>
      <c r="AH18" s="43"/>
      <c r="AI18" s="3"/>
      <c r="AJ18" s="4"/>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row>
    <row r="19" spans="1:249" s="2" customFormat="1" ht="29.1" customHeight="1" x14ac:dyDescent="0.25">
      <c r="A19" s="94">
        <v>3</v>
      </c>
      <c r="B19" s="95" t="s">
        <v>200</v>
      </c>
      <c r="C19" s="251">
        <v>5</v>
      </c>
      <c r="D19" s="251">
        <v>34</v>
      </c>
      <c r="E19" s="231">
        <v>480</v>
      </c>
      <c r="F19" s="214" t="s">
        <v>33</v>
      </c>
      <c r="G19" s="210">
        <v>29</v>
      </c>
      <c r="H19" s="210">
        <v>23</v>
      </c>
      <c r="I19" s="211">
        <v>435.6</v>
      </c>
      <c r="J19" s="213" t="s">
        <v>7</v>
      </c>
      <c r="K19" s="48">
        <v>435.6</v>
      </c>
      <c r="L19" s="48"/>
      <c r="M19" s="48"/>
      <c r="N19" s="49"/>
      <c r="O19" s="49"/>
      <c r="P19" s="49"/>
      <c r="Q19" s="50">
        <f t="shared" si="0"/>
        <v>435.6</v>
      </c>
      <c r="R19" s="55" t="str">
        <f t="shared" si="1"/>
        <v>LUC</v>
      </c>
      <c r="S19" s="183"/>
      <c r="T19" s="40">
        <v>80000</v>
      </c>
      <c r="U19" s="40">
        <f t="shared" si="2"/>
        <v>34848000</v>
      </c>
      <c r="V19" s="96" t="s">
        <v>64</v>
      </c>
      <c r="W19" s="241" t="s">
        <v>24</v>
      </c>
      <c r="X19" s="242">
        <f t="shared" ref="X19:X32" si="12">Q19</f>
        <v>435.6</v>
      </c>
      <c r="Y19" s="41">
        <v>9000</v>
      </c>
      <c r="Z19" s="42">
        <v>1</v>
      </c>
      <c r="AA19" s="40">
        <f t="shared" si="4"/>
        <v>3920400</v>
      </c>
      <c r="AB19" s="40">
        <f t="shared" si="6"/>
        <v>174240000</v>
      </c>
      <c r="AC19" s="40">
        <f t="shared" si="5"/>
        <v>6534000</v>
      </c>
      <c r="AD19" s="40">
        <f t="shared" si="7"/>
        <v>0</v>
      </c>
      <c r="AE19" s="56">
        <f t="shared" si="8"/>
        <v>219542400</v>
      </c>
      <c r="AF19" s="504">
        <f>SUM(AE19:AE22)</f>
        <v>651268800</v>
      </c>
      <c r="AG19" s="69"/>
      <c r="AH19" s="43"/>
      <c r="AI19" s="3"/>
      <c r="AJ19" s="4"/>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row>
    <row r="20" spans="1:249" s="2" customFormat="1" ht="29.1" customHeight="1" x14ac:dyDescent="0.25">
      <c r="A20" s="94">
        <v>3</v>
      </c>
      <c r="B20" s="95" t="s">
        <v>200</v>
      </c>
      <c r="C20" s="251">
        <v>5</v>
      </c>
      <c r="D20" s="251">
        <v>30</v>
      </c>
      <c r="E20" s="231">
        <v>192</v>
      </c>
      <c r="F20" s="214" t="s">
        <v>33</v>
      </c>
      <c r="G20" s="210">
        <v>29</v>
      </c>
      <c r="H20" s="210">
        <v>39</v>
      </c>
      <c r="I20" s="211">
        <v>293.89999999999998</v>
      </c>
      <c r="J20" s="213" t="s">
        <v>7</v>
      </c>
      <c r="K20" s="48">
        <v>192</v>
      </c>
      <c r="L20" s="48">
        <f>I20-K20</f>
        <v>101.89999999999998</v>
      </c>
      <c r="M20" s="48"/>
      <c r="N20" s="49"/>
      <c r="O20" s="49"/>
      <c r="P20" s="49"/>
      <c r="Q20" s="50">
        <f t="shared" si="0"/>
        <v>293.89999999999998</v>
      </c>
      <c r="R20" s="55" t="str">
        <f t="shared" si="1"/>
        <v>LUC</v>
      </c>
      <c r="S20" s="183"/>
      <c r="T20" s="40">
        <v>80000</v>
      </c>
      <c r="U20" s="40">
        <f t="shared" si="2"/>
        <v>23512000</v>
      </c>
      <c r="V20" s="96" t="s">
        <v>64</v>
      </c>
      <c r="W20" s="241" t="s">
        <v>24</v>
      </c>
      <c r="X20" s="242">
        <f t="shared" si="12"/>
        <v>293.89999999999998</v>
      </c>
      <c r="Y20" s="41">
        <v>9000</v>
      </c>
      <c r="Z20" s="42">
        <v>1</v>
      </c>
      <c r="AA20" s="40">
        <f t="shared" si="4"/>
        <v>2645100</v>
      </c>
      <c r="AB20" s="40">
        <f t="shared" si="6"/>
        <v>117560000</v>
      </c>
      <c r="AC20" s="40">
        <f t="shared" si="5"/>
        <v>4408500</v>
      </c>
      <c r="AD20" s="40">
        <f t="shared" si="7"/>
        <v>0</v>
      </c>
      <c r="AE20" s="56">
        <f t="shared" si="8"/>
        <v>148125600</v>
      </c>
      <c r="AF20" s="504"/>
      <c r="AG20" s="44"/>
      <c r="AH20" s="43"/>
      <c r="AI20" s="3"/>
      <c r="AJ20" s="4"/>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row>
    <row r="21" spans="1:249" s="2" customFormat="1" ht="29.1" customHeight="1" x14ac:dyDescent="0.25">
      <c r="A21" s="94">
        <v>3</v>
      </c>
      <c r="B21" s="95" t="s">
        <v>200</v>
      </c>
      <c r="C21" s="251">
        <v>5</v>
      </c>
      <c r="D21" s="251">
        <v>98</v>
      </c>
      <c r="E21" s="231">
        <v>288</v>
      </c>
      <c r="F21" s="215" t="s">
        <v>201</v>
      </c>
      <c r="G21" s="210">
        <v>28</v>
      </c>
      <c r="H21" s="210">
        <v>723</v>
      </c>
      <c r="I21" s="211">
        <v>498.1</v>
      </c>
      <c r="J21" s="213" t="s">
        <v>7</v>
      </c>
      <c r="K21" s="48">
        <v>288</v>
      </c>
      <c r="L21" s="48">
        <f>I21-K21</f>
        <v>210.10000000000002</v>
      </c>
      <c r="M21" s="48"/>
      <c r="N21" s="49"/>
      <c r="O21" s="49"/>
      <c r="P21" s="49"/>
      <c r="Q21" s="50">
        <f t="shared" si="0"/>
        <v>498.1</v>
      </c>
      <c r="R21" s="55" t="str">
        <f t="shared" si="1"/>
        <v>LUC</v>
      </c>
      <c r="S21" s="183"/>
      <c r="T21" s="40">
        <v>80000</v>
      </c>
      <c r="U21" s="40">
        <f t="shared" si="2"/>
        <v>39848000</v>
      </c>
      <c r="V21" s="96" t="s">
        <v>64</v>
      </c>
      <c r="W21" s="241" t="s">
        <v>24</v>
      </c>
      <c r="X21" s="242">
        <f t="shared" si="12"/>
        <v>498.1</v>
      </c>
      <c r="Y21" s="41">
        <v>9000</v>
      </c>
      <c r="Z21" s="42">
        <v>1</v>
      </c>
      <c r="AA21" s="40">
        <f t="shared" si="4"/>
        <v>4482900</v>
      </c>
      <c r="AB21" s="40">
        <f t="shared" si="6"/>
        <v>199240000</v>
      </c>
      <c r="AC21" s="40">
        <f t="shared" si="5"/>
        <v>7471500</v>
      </c>
      <c r="AD21" s="40">
        <f t="shared" si="7"/>
        <v>0</v>
      </c>
      <c r="AE21" s="56">
        <f t="shared" si="8"/>
        <v>251042400</v>
      </c>
      <c r="AF21" s="504"/>
      <c r="AG21" s="6"/>
      <c r="AH21" s="43"/>
      <c r="AI21" s="3"/>
      <c r="AJ21" s="4"/>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row>
    <row r="22" spans="1:249" s="2" customFormat="1" ht="29.1" customHeight="1" x14ac:dyDescent="0.25">
      <c r="A22" s="94">
        <v>3</v>
      </c>
      <c r="B22" s="95" t="s">
        <v>200</v>
      </c>
      <c r="C22" s="251"/>
      <c r="D22" s="251"/>
      <c r="E22" s="231"/>
      <c r="F22" s="215" t="s">
        <v>46</v>
      </c>
      <c r="G22" s="210">
        <v>28</v>
      </c>
      <c r="H22" s="210">
        <v>781</v>
      </c>
      <c r="I22" s="211">
        <v>64.599999999999994</v>
      </c>
      <c r="J22" s="213" t="s">
        <v>43</v>
      </c>
      <c r="K22" s="48"/>
      <c r="L22" s="48">
        <f>I22-K22</f>
        <v>64.599999999999994</v>
      </c>
      <c r="M22" s="48"/>
      <c r="N22" s="49"/>
      <c r="O22" s="49"/>
      <c r="P22" s="49"/>
      <c r="Q22" s="50">
        <f t="shared" si="0"/>
        <v>64.599999999999994</v>
      </c>
      <c r="R22" s="55" t="s">
        <v>86</v>
      </c>
      <c r="S22" s="183"/>
      <c r="T22" s="40">
        <v>80000</v>
      </c>
      <c r="U22" s="40">
        <f t="shared" si="2"/>
        <v>5168000</v>
      </c>
      <c r="V22" s="96" t="s">
        <v>64</v>
      </c>
      <c r="W22" s="241" t="s">
        <v>24</v>
      </c>
      <c r="X22" s="242">
        <f t="shared" si="12"/>
        <v>64.599999999999994</v>
      </c>
      <c r="Y22" s="41">
        <v>9000</v>
      </c>
      <c r="Z22" s="42">
        <v>1</v>
      </c>
      <c r="AA22" s="40">
        <f t="shared" si="4"/>
        <v>581400</v>
      </c>
      <c r="AB22" s="40">
        <f t="shared" si="6"/>
        <v>25840000</v>
      </c>
      <c r="AC22" s="40">
        <f t="shared" si="5"/>
        <v>968999.99999999988</v>
      </c>
      <c r="AD22" s="40">
        <f t="shared" si="7"/>
        <v>0</v>
      </c>
      <c r="AE22" s="56">
        <f t="shared" si="8"/>
        <v>32558400</v>
      </c>
      <c r="AF22" s="504"/>
      <c r="AG22" s="69" t="s">
        <v>304</v>
      </c>
      <c r="AH22" s="43"/>
      <c r="AI22" s="3"/>
      <c r="AJ22" s="4"/>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row>
    <row r="23" spans="1:249" s="2" customFormat="1" ht="33.75" x14ac:dyDescent="0.25">
      <c r="A23" s="94">
        <v>4</v>
      </c>
      <c r="B23" s="95" t="s">
        <v>202</v>
      </c>
      <c r="C23" s="246">
        <v>5</v>
      </c>
      <c r="D23" s="246">
        <v>87</v>
      </c>
      <c r="E23" s="247">
        <v>720</v>
      </c>
      <c r="F23" s="214" t="s">
        <v>33</v>
      </c>
      <c r="G23" s="210">
        <v>28</v>
      </c>
      <c r="H23" s="210">
        <v>460</v>
      </c>
      <c r="I23" s="211">
        <v>802.8</v>
      </c>
      <c r="J23" s="213" t="s">
        <v>7</v>
      </c>
      <c r="K23" s="48">
        <v>720</v>
      </c>
      <c r="L23" s="48">
        <f>762.8-720</f>
        <v>42.799999999999955</v>
      </c>
      <c r="M23" s="48"/>
      <c r="N23" s="49"/>
      <c r="O23" s="49"/>
      <c r="P23" s="49"/>
      <c r="Q23" s="50">
        <f t="shared" si="0"/>
        <v>762.8</v>
      </c>
      <c r="R23" s="55" t="str">
        <f t="shared" si="1"/>
        <v>LUC</v>
      </c>
      <c r="S23" s="183"/>
      <c r="T23" s="40">
        <v>80000</v>
      </c>
      <c r="U23" s="40">
        <f t="shared" si="2"/>
        <v>61024000</v>
      </c>
      <c r="V23" s="96" t="s">
        <v>64</v>
      </c>
      <c r="W23" s="241" t="s">
        <v>24</v>
      </c>
      <c r="X23" s="242">
        <f t="shared" si="12"/>
        <v>762.8</v>
      </c>
      <c r="Y23" s="41">
        <v>9000</v>
      </c>
      <c r="Z23" s="42">
        <v>1</v>
      </c>
      <c r="AA23" s="40">
        <f t="shared" si="4"/>
        <v>6865200</v>
      </c>
      <c r="AB23" s="40">
        <f t="shared" si="6"/>
        <v>305120000</v>
      </c>
      <c r="AC23" s="40">
        <f t="shared" si="5"/>
        <v>11442000</v>
      </c>
      <c r="AD23" s="40">
        <f t="shared" si="7"/>
        <v>0</v>
      </c>
      <c r="AE23" s="56">
        <f t="shared" si="8"/>
        <v>384451200</v>
      </c>
      <c r="AF23" s="504">
        <f>SUM(AE23:AE25)</f>
        <v>780040800</v>
      </c>
      <c r="AG23" s="69" t="s">
        <v>314</v>
      </c>
      <c r="AH23" s="43"/>
      <c r="AI23" s="3"/>
      <c r="AJ23" s="4"/>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row>
    <row r="24" spans="1:249" s="2" customFormat="1" ht="29.25" customHeight="1" x14ac:dyDescent="0.25">
      <c r="A24" s="94">
        <v>4</v>
      </c>
      <c r="B24" s="95" t="s">
        <v>202</v>
      </c>
      <c r="C24" s="246">
        <v>5</v>
      </c>
      <c r="D24" s="246">
        <v>98</v>
      </c>
      <c r="E24" s="247">
        <v>360</v>
      </c>
      <c r="F24" s="215" t="s">
        <v>201</v>
      </c>
      <c r="G24" s="210">
        <v>28</v>
      </c>
      <c r="H24" s="238">
        <v>732</v>
      </c>
      <c r="I24" s="239">
        <v>408.1</v>
      </c>
      <c r="J24" s="213" t="s">
        <v>7</v>
      </c>
      <c r="K24" s="48">
        <v>360</v>
      </c>
      <c r="L24" s="48">
        <f>I24-K24</f>
        <v>48.100000000000023</v>
      </c>
      <c r="M24" s="48"/>
      <c r="N24" s="49"/>
      <c r="O24" s="49"/>
      <c r="P24" s="49"/>
      <c r="Q24" s="50">
        <f t="shared" si="0"/>
        <v>408.1</v>
      </c>
      <c r="R24" s="55" t="str">
        <f t="shared" si="1"/>
        <v>LUC</v>
      </c>
      <c r="S24" s="183"/>
      <c r="T24" s="40">
        <v>80000</v>
      </c>
      <c r="U24" s="40">
        <f t="shared" si="2"/>
        <v>32648000</v>
      </c>
      <c r="V24" s="96" t="s">
        <v>64</v>
      </c>
      <c r="W24" s="241" t="s">
        <v>24</v>
      </c>
      <c r="X24" s="242">
        <f t="shared" si="12"/>
        <v>408.1</v>
      </c>
      <c r="Y24" s="41">
        <v>9000</v>
      </c>
      <c r="Z24" s="42">
        <v>1</v>
      </c>
      <c r="AA24" s="40">
        <f t="shared" si="4"/>
        <v>3672900</v>
      </c>
      <c r="AB24" s="40">
        <f t="shared" si="6"/>
        <v>163240000</v>
      </c>
      <c r="AC24" s="40">
        <f t="shared" si="5"/>
        <v>6121500</v>
      </c>
      <c r="AD24" s="40">
        <f t="shared" si="7"/>
        <v>0</v>
      </c>
      <c r="AE24" s="56">
        <f t="shared" si="8"/>
        <v>205682400</v>
      </c>
      <c r="AF24" s="504"/>
      <c r="AG24" s="6"/>
      <c r="AH24" s="43"/>
      <c r="AI24" s="3"/>
      <c r="AJ24" s="4"/>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row>
    <row r="25" spans="1:249" s="2" customFormat="1" ht="29.25" customHeight="1" x14ac:dyDescent="0.25">
      <c r="A25" s="94">
        <v>4</v>
      </c>
      <c r="B25" s="95" t="s">
        <v>202</v>
      </c>
      <c r="C25" s="246"/>
      <c r="D25" s="246"/>
      <c r="E25" s="247"/>
      <c r="F25" s="214" t="s">
        <v>33</v>
      </c>
      <c r="G25" s="210">
        <v>28</v>
      </c>
      <c r="H25" s="210">
        <v>680</v>
      </c>
      <c r="I25" s="211">
        <v>376.8</v>
      </c>
      <c r="J25" s="213" t="s">
        <v>7</v>
      </c>
      <c r="K25" s="48"/>
      <c r="L25" s="48">
        <f>I25-K25</f>
        <v>376.8</v>
      </c>
      <c r="M25" s="48"/>
      <c r="N25" s="49"/>
      <c r="O25" s="49"/>
      <c r="P25" s="49"/>
      <c r="Q25" s="50">
        <f t="shared" si="0"/>
        <v>376.8</v>
      </c>
      <c r="R25" s="55" t="str">
        <f t="shared" si="1"/>
        <v>LUC</v>
      </c>
      <c r="S25" s="183"/>
      <c r="T25" s="40">
        <v>80000</v>
      </c>
      <c r="U25" s="40">
        <f t="shared" si="2"/>
        <v>30144000</v>
      </c>
      <c r="V25" s="96" t="s">
        <v>64</v>
      </c>
      <c r="W25" s="241" t="s">
        <v>24</v>
      </c>
      <c r="X25" s="242">
        <f t="shared" si="12"/>
        <v>376.8</v>
      </c>
      <c r="Y25" s="41">
        <v>9000</v>
      </c>
      <c r="Z25" s="42">
        <v>1</v>
      </c>
      <c r="AA25" s="40">
        <f t="shared" si="4"/>
        <v>3391200</v>
      </c>
      <c r="AB25" s="40">
        <f t="shared" si="6"/>
        <v>150720000</v>
      </c>
      <c r="AC25" s="40">
        <f t="shared" si="5"/>
        <v>5652000</v>
      </c>
      <c r="AD25" s="40">
        <f t="shared" si="7"/>
        <v>0</v>
      </c>
      <c r="AE25" s="56">
        <f t="shared" si="8"/>
        <v>189907200</v>
      </c>
      <c r="AF25" s="504"/>
      <c r="AG25" s="6" t="s">
        <v>104</v>
      </c>
      <c r="AH25" s="43"/>
      <c r="AI25" s="3"/>
      <c r="AJ25" s="4"/>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row>
    <row r="26" spans="1:249" s="2" customFormat="1" ht="30" customHeight="1" x14ac:dyDescent="0.25">
      <c r="A26" s="94">
        <v>5</v>
      </c>
      <c r="B26" s="266" t="s">
        <v>203</v>
      </c>
      <c r="C26" s="251">
        <v>5</v>
      </c>
      <c r="D26" s="251">
        <v>66</v>
      </c>
      <c r="E26" s="231">
        <v>288</v>
      </c>
      <c r="F26" s="214" t="s">
        <v>33</v>
      </c>
      <c r="G26" s="210">
        <v>28</v>
      </c>
      <c r="H26" s="210">
        <v>681</v>
      </c>
      <c r="I26" s="211">
        <v>422.2</v>
      </c>
      <c r="J26" s="213" t="s">
        <v>7</v>
      </c>
      <c r="K26" s="48">
        <v>288</v>
      </c>
      <c r="L26" s="48">
        <f>I26-K26</f>
        <v>134.19999999999999</v>
      </c>
      <c r="M26" s="48"/>
      <c r="N26" s="49"/>
      <c r="O26" s="49"/>
      <c r="P26" s="49"/>
      <c r="Q26" s="50">
        <f t="shared" si="0"/>
        <v>422.2</v>
      </c>
      <c r="R26" s="55" t="str">
        <f t="shared" si="1"/>
        <v>LUC</v>
      </c>
      <c r="S26" s="183"/>
      <c r="T26" s="40">
        <v>80000</v>
      </c>
      <c r="U26" s="40">
        <f t="shared" si="2"/>
        <v>33776000</v>
      </c>
      <c r="V26" s="96" t="s">
        <v>64</v>
      </c>
      <c r="W26" s="241" t="s">
        <v>24</v>
      </c>
      <c r="X26" s="242">
        <f t="shared" si="12"/>
        <v>422.2</v>
      </c>
      <c r="Y26" s="41">
        <v>9000</v>
      </c>
      <c r="Z26" s="42">
        <v>1</v>
      </c>
      <c r="AA26" s="40">
        <f t="shared" si="4"/>
        <v>3799800</v>
      </c>
      <c r="AB26" s="40">
        <f t="shared" si="6"/>
        <v>168880000</v>
      </c>
      <c r="AC26" s="40">
        <f t="shared" si="5"/>
        <v>6333000</v>
      </c>
      <c r="AD26" s="40">
        <f t="shared" si="7"/>
        <v>0</v>
      </c>
      <c r="AE26" s="56">
        <f t="shared" si="8"/>
        <v>212788800</v>
      </c>
      <c r="AF26" s="504">
        <f>AE26+AE27</f>
        <v>394380000</v>
      </c>
      <c r="AG26" s="69"/>
      <c r="AH26" s="166"/>
      <c r="AI26" s="3"/>
      <c r="AJ26" s="4"/>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row>
    <row r="27" spans="1:249" s="2" customFormat="1" ht="33" customHeight="1" x14ac:dyDescent="0.25">
      <c r="A27" s="94">
        <v>5</v>
      </c>
      <c r="B27" s="266" t="s">
        <v>203</v>
      </c>
      <c r="C27" s="251"/>
      <c r="D27" s="251"/>
      <c r="E27" s="231"/>
      <c r="F27" s="97" t="s">
        <v>201</v>
      </c>
      <c r="G27" s="210">
        <v>28</v>
      </c>
      <c r="H27" s="210">
        <v>733</v>
      </c>
      <c r="I27" s="211">
        <v>360.3</v>
      </c>
      <c r="J27" s="213" t="s">
        <v>7</v>
      </c>
      <c r="K27" s="48"/>
      <c r="L27" s="48">
        <f>I27-K27</f>
        <v>360.3</v>
      </c>
      <c r="M27" s="48"/>
      <c r="N27" s="49"/>
      <c r="O27" s="49"/>
      <c r="P27" s="49"/>
      <c r="Q27" s="50">
        <f t="shared" si="0"/>
        <v>360.3</v>
      </c>
      <c r="R27" s="55" t="str">
        <f t="shared" si="1"/>
        <v>LUC</v>
      </c>
      <c r="S27" s="183"/>
      <c r="T27" s="40">
        <v>80000</v>
      </c>
      <c r="U27" s="40">
        <f t="shared" si="2"/>
        <v>28824000</v>
      </c>
      <c r="V27" s="96" t="s">
        <v>64</v>
      </c>
      <c r="W27" s="241" t="s">
        <v>24</v>
      </c>
      <c r="X27" s="242">
        <f t="shared" si="12"/>
        <v>360.3</v>
      </c>
      <c r="Y27" s="41">
        <v>9000</v>
      </c>
      <c r="Z27" s="42">
        <v>1</v>
      </c>
      <c r="AA27" s="40">
        <f t="shared" si="4"/>
        <v>3242700</v>
      </c>
      <c r="AB27" s="40">
        <f t="shared" si="6"/>
        <v>144120000</v>
      </c>
      <c r="AC27" s="40">
        <f t="shared" si="5"/>
        <v>5404500</v>
      </c>
      <c r="AD27" s="40">
        <f t="shared" si="7"/>
        <v>0</v>
      </c>
      <c r="AE27" s="56">
        <f t="shared" si="8"/>
        <v>181591200</v>
      </c>
      <c r="AF27" s="504"/>
      <c r="AG27" s="69" t="s">
        <v>305</v>
      </c>
      <c r="AH27" s="43"/>
      <c r="AI27" s="3"/>
      <c r="AJ27" s="4"/>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row>
    <row r="28" spans="1:249" s="2" customFormat="1" ht="29.25" customHeight="1" x14ac:dyDescent="0.25">
      <c r="A28" s="94">
        <v>6</v>
      </c>
      <c r="B28" s="95" t="s">
        <v>204</v>
      </c>
      <c r="C28" s="246">
        <v>5</v>
      </c>
      <c r="D28" s="246">
        <v>65</v>
      </c>
      <c r="E28" s="216">
        <v>456</v>
      </c>
      <c r="F28" s="214" t="s">
        <v>33</v>
      </c>
      <c r="G28" s="210">
        <v>28</v>
      </c>
      <c r="H28" s="210">
        <v>727</v>
      </c>
      <c r="I28" s="211">
        <v>785.4</v>
      </c>
      <c r="J28" s="213" t="s">
        <v>7</v>
      </c>
      <c r="K28" s="48">
        <v>456</v>
      </c>
      <c r="L28" s="48">
        <f>I28-K28</f>
        <v>329.4</v>
      </c>
      <c r="M28" s="48"/>
      <c r="N28" s="49"/>
      <c r="O28" s="49"/>
      <c r="P28" s="49"/>
      <c r="Q28" s="50">
        <f t="shared" si="0"/>
        <v>785.4</v>
      </c>
      <c r="R28" s="55" t="str">
        <f t="shared" si="1"/>
        <v>LUC</v>
      </c>
      <c r="S28" s="183"/>
      <c r="T28" s="40">
        <v>80000</v>
      </c>
      <c r="U28" s="40">
        <f t="shared" si="2"/>
        <v>62832000</v>
      </c>
      <c r="V28" s="96" t="s">
        <v>64</v>
      </c>
      <c r="W28" s="241" t="s">
        <v>24</v>
      </c>
      <c r="X28" s="242">
        <f t="shared" si="12"/>
        <v>785.4</v>
      </c>
      <c r="Y28" s="41">
        <v>9000</v>
      </c>
      <c r="Z28" s="42">
        <v>1</v>
      </c>
      <c r="AA28" s="40">
        <f t="shared" si="4"/>
        <v>7068600</v>
      </c>
      <c r="AB28" s="40">
        <f t="shared" si="6"/>
        <v>314160000</v>
      </c>
      <c r="AC28" s="40">
        <f t="shared" si="5"/>
        <v>11781000</v>
      </c>
      <c r="AD28" s="40">
        <f t="shared" si="7"/>
        <v>0</v>
      </c>
      <c r="AE28" s="56">
        <f t="shared" si="8"/>
        <v>395841600</v>
      </c>
      <c r="AF28" s="504">
        <f>SUM(AE28:AE30)</f>
        <v>705146400</v>
      </c>
      <c r="AG28" s="69"/>
      <c r="AH28" s="43"/>
      <c r="AI28" s="3"/>
      <c r="AJ28" s="4"/>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row>
    <row r="29" spans="1:249" s="2" customFormat="1" ht="45" x14ac:dyDescent="0.25">
      <c r="A29" s="94">
        <v>6</v>
      </c>
      <c r="B29" s="95" t="s">
        <v>204</v>
      </c>
      <c r="C29" s="246">
        <v>5</v>
      </c>
      <c r="D29" s="246">
        <v>103</v>
      </c>
      <c r="E29" s="247">
        <v>744</v>
      </c>
      <c r="F29" s="215" t="s">
        <v>205</v>
      </c>
      <c r="G29" s="210">
        <v>28</v>
      </c>
      <c r="H29" s="210">
        <v>459</v>
      </c>
      <c r="I29" s="211">
        <v>747.2</v>
      </c>
      <c r="J29" s="213" t="s">
        <v>7</v>
      </c>
      <c r="K29" s="48">
        <v>515.9</v>
      </c>
      <c r="L29" s="48"/>
      <c r="M29" s="48"/>
      <c r="N29" s="49"/>
      <c r="O29" s="49"/>
      <c r="P29" s="49"/>
      <c r="Q29" s="50">
        <f t="shared" si="0"/>
        <v>515.9</v>
      </c>
      <c r="R29" s="55" t="str">
        <f t="shared" si="1"/>
        <v>LUC</v>
      </c>
      <c r="S29" s="183"/>
      <c r="T29" s="40">
        <v>80000</v>
      </c>
      <c r="U29" s="40">
        <f t="shared" si="2"/>
        <v>41272000</v>
      </c>
      <c r="V29" s="96" t="s">
        <v>64</v>
      </c>
      <c r="W29" s="241" t="s">
        <v>24</v>
      </c>
      <c r="X29" s="242">
        <f t="shared" si="12"/>
        <v>515.9</v>
      </c>
      <c r="Y29" s="41">
        <v>9000</v>
      </c>
      <c r="Z29" s="42">
        <v>1</v>
      </c>
      <c r="AA29" s="40">
        <f t="shared" si="4"/>
        <v>4643100</v>
      </c>
      <c r="AB29" s="40">
        <f t="shared" si="6"/>
        <v>206360000</v>
      </c>
      <c r="AC29" s="40">
        <f t="shared" si="5"/>
        <v>7738500</v>
      </c>
      <c r="AD29" s="40">
        <f t="shared" si="7"/>
        <v>0</v>
      </c>
      <c r="AE29" s="56">
        <f t="shared" si="8"/>
        <v>260013600</v>
      </c>
      <c r="AF29" s="504"/>
      <c r="AG29" s="69" t="s">
        <v>206</v>
      </c>
      <c r="AH29" s="43"/>
      <c r="AI29" s="3"/>
      <c r="AJ29" s="4"/>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row>
    <row r="30" spans="1:249" s="2" customFormat="1" ht="56.25" x14ac:dyDescent="0.25">
      <c r="A30" s="94">
        <v>6</v>
      </c>
      <c r="B30" s="95" t="s">
        <v>204</v>
      </c>
      <c r="C30" s="246"/>
      <c r="D30" s="246"/>
      <c r="E30" s="247"/>
      <c r="F30" s="214" t="s">
        <v>44</v>
      </c>
      <c r="G30" s="210">
        <v>28</v>
      </c>
      <c r="H30" s="210">
        <v>464</v>
      </c>
      <c r="I30" s="211">
        <v>127.1</v>
      </c>
      <c r="J30" s="213" t="s">
        <v>48</v>
      </c>
      <c r="K30" s="48"/>
      <c r="L30" s="48">
        <v>97.8</v>
      </c>
      <c r="M30" s="48"/>
      <c r="N30" s="49"/>
      <c r="O30" s="49"/>
      <c r="P30" s="49"/>
      <c r="Q30" s="50">
        <f t="shared" si="0"/>
        <v>97.8</v>
      </c>
      <c r="R30" s="55" t="str">
        <f t="shared" si="1"/>
        <v>LUK</v>
      </c>
      <c r="S30" s="183"/>
      <c r="T30" s="40">
        <v>80000</v>
      </c>
      <c r="U30" s="40">
        <f t="shared" si="2"/>
        <v>7824000</v>
      </c>
      <c r="V30" s="96" t="s">
        <v>64</v>
      </c>
      <c r="W30" s="241" t="s">
        <v>24</v>
      </c>
      <c r="X30" s="242">
        <f t="shared" si="12"/>
        <v>97.8</v>
      </c>
      <c r="Y30" s="41">
        <v>9000</v>
      </c>
      <c r="Z30" s="42">
        <v>1</v>
      </c>
      <c r="AA30" s="40">
        <f t="shared" si="4"/>
        <v>880200</v>
      </c>
      <c r="AB30" s="40">
        <f t="shared" si="6"/>
        <v>39120000</v>
      </c>
      <c r="AC30" s="40">
        <f t="shared" si="5"/>
        <v>1467000</v>
      </c>
      <c r="AD30" s="40">
        <f t="shared" si="7"/>
        <v>0</v>
      </c>
      <c r="AE30" s="56">
        <f t="shared" si="8"/>
        <v>49291200</v>
      </c>
      <c r="AF30" s="504"/>
      <c r="AG30" s="69" t="s">
        <v>306</v>
      </c>
      <c r="AH30" s="43"/>
      <c r="AI30" s="3"/>
      <c r="AJ30" s="4"/>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row>
    <row r="31" spans="1:249" s="2" customFormat="1" ht="33.75" customHeight="1" x14ac:dyDescent="0.25">
      <c r="A31" s="94">
        <v>7</v>
      </c>
      <c r="B31" s="95" t="s">
        <v>207</v>
      </c>
      <c r="C31" s="246"/>
      <c r="D31" s="246"/>
      <c r="E31" s="247"/>
      <c r="F31" s="214" t="s">
        <v>33</v>
      </c>
      <c r="G31" s="210">
        <v>29</v>
      </c>
      <c r="H31" s="210">
        <v>47</v>
      </c>
      <c r="I31" s="211">
        <v>193.1</v>
      </c>
      <c r="J31" s="213" t="s">
        <v>7</v>
      </c>
      <c r="K31" s="48"/>
      <c r="L31" s="48">
        <v>193.1</v>
      </c>
      <c r="M31" s="48"/>
      <c r="N31" s="49"/>
      <c r="O31" s="49"/>
      <c r="P31" s="49"/>
      <c r="Q31" s="50">
        <f t="shared" si="0"/>
        <v>193.1</v>
      </c>
      <c r="R31" s="55" t="str">
        <f t="shared" si="1"/>
        <v>LUC</v>
      </c>
      <c r="S31" s="182"/>
      <c r="T31" s="40">
        <v>80000</v>
      </c>
      <c r="U31" s="40">
        <f t="shared" si="2"/>
        <v>15448000</v>
      </c>
      <c r="V31" s="96" t="s">
        <v>64</v>
      </c>
      <c r="W31" s="241" t="s">
        <v>24</v>
      </c>
      <c r="X31" s="242">
        <f t="shared" si="12"/>
        <v>193.1</v>
      </c>
      <c r="Y31" s="41">
        <v>9000</v>
      </c>
      <c r="Z31" s="42">
        <v>1</v>
      </c>
      <c r="AA31" s="40">
        <f t="shared" si="4"/>
        <v>1737900</v>
      </c>
      <c r="AB31" s="40">
        <f t="shared" si="6"/>
        <v>77240000</v>
      </c>
      <c r="AC31" s="40">
        <f t="shared" si="5"/>
        <v>2896500</v>
      </c>
      <c r="AD31" s="40">
        <f t="shared" si="7"/>
        <v>0</v>
      </c>
      <c r="AE31" s="56">
        <f t="shared" si="8"/>
        <v>97322400</v>
      </c>
      <c r="AF31" s="504">
        <f>SUM(AE31:AE37)</f>
        <v>483100720</v>
      </c>
      <c r="AG31" s="6" t="s">
        <v>115</v>
      </c>
      <c r="AH31" s="43"/>
      <c r="AI31" s="3"/>
      <c r="AJ31" s="4"/>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row>
    <row r="32" spans="1:249" s="2" customFormat="1" ht="45" x14ac:dyDescent="0.25">
      <c r="A32" s="94">
        <v>7</v>
      </c>
      <c r="B32" s="95" t="s">
        <v>207</v>
      </c>
      <c r="C32" s="246">
        <v>5</v>
      </c>
      <c r="D32" s="246">
        <v>131</v>
      </c>
      <c r="E32" s="247">
        <v>168</v>
      </c>
      <c r="F32" s="215" t="s">
        <v>230</v>
      </c>
      <c r="G32" s="210">
        <v>28</v>
      </c>
      <c r="H32" s="210">
        <v>467</v>
      </c>
      <c r="I32" s="211">
        <v>272.5</v>
      </c>
      <c r="J32" s="213" t="s">
        <v>48</v>
      </c>
      <c r="K32" s="48">
        <v>110.6</v>
      </c>
      <c r="L32" s="48"/>
      <c r="M32" s="48"/>
      <c r="N32" s="49"/>
      <c r="O32" s="49"/>
      <c r="P32" s="49"/>
      <c r="Q32" s="50">
        <f t="shared" si="0"/>
        <v>110.6</v>
      </c>
      <c r="R32" s="55" t="str">
        <f t="shared" si="1"/>
        <v>LUK</v>
      </c>
      <c r="S32" s="182"/>
      <c r="T32" s="40">
        <v>80000</v>
      </c>
      <c r="U32" s="40">
        <f t="shared" si="2"/>
        <v>8848000</v>
      </c>
      <c r="V32" s="96" t="s">
        <v>64</v>
      </c>
      <c r="W32" s="241" t="s">
        <v>24</v>
      </c>
      <c r="X32" s="242">
        <f t="shared" si="12"/>
        <v>110.6</v>
      </c>
      <c r="Y32" s="41">
        <v>9000</v>
      </c>
      <c r="Z32" s="42">
        <v>1</v>
      </c>
      <c r="AA32" s="40">
        <f t="shared" si="4"/>
        <v>995400</v>
      </c>
      <c r="AB32" s="40">
        <f t="shared" si="6"/>
        <v>44240000</v>
      </c>
      <c r="AC32" s="40">
        <f t="shared" si="5"/>
        <v>1659000</v>
      </c>
      <c r="AD32" s="40">
        <f t="shared" si="7"/>
        <v>0</v>
      </c>
      <c r="AE32" s="56">
        <f t="shared" si="8"/>
        <v>55742400</v>
      </c>
      <c r="AF32" s="504"/>
      <c r="AG32" s="69" t="s">
        <v>209</v>
      </c>
      <c r="AH32" s="43"/>
      <c r="AI32" s="3"/>
      <c r="AJ32" s="4"/>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row>
    <row r="33" spans="1:249" s="2" customFormat="1" ht="38.25" x14ac:dyDescent="0.25">
      <c r="A33" s="94">
        <v>7</v>
      </c>
      <c r="B33" s="95" t="s">
        <v>207</v>
      </c>
      <c r="C33" s="246">
        <v>5</v>
      </c>
      <c r="D33" s="246">
        <v>101</v>
      </c>
      <c r="E33" s="247">
        <v>216</v>
      </c>
      <c r="F33" s="215" t="s">
        <v>119</v>
      </c>
      <c r="G33" s="210">
        <v>28</v>
      </c>
      <c r="H33" s="210">
        <v>614</v>
      </c>
      <c r="I33" s="211">
        <v>290.7</v>
      </c>
      <c r="J33" s="213" t="s">
        <v>48</v>
      </c>
      <c r="K33" s="48">
        <v>216</v>
      </c>
      <c r="L33" s="48">
        <f>I33-K33</f>
        <v>74.699999999999989</v>
      </c>
      <c r="M33" s="48"/>
      <c r="N33" s="49"/>
      <c r="O33" s="49"/>
      <c r="P33" s="49"/>
      <c r="Q33" s="50">
        <f t="shared" si="0"/>
        <v>290.7</v>
      </c>
      <c r="R33" s="55" t="str">
        <f t="shared" si="1"/>
        <v>LUK</v>
      </c>
      <c r="S33" s="183"/>
      <c r="T33" s="40">
        <v>80000</v>
      </c>
      <c r="U33" s="40">
        <f t="shared" si="2"/>
        <v>23256000</v>
      </c>
      <c r="V33" s="99" t="s">
        <v>319</v>
      </c>
      <c r="W33" s="241" t="s">
        <v>61</v>
      </c>
      <c r="X33" s="242">
        <v>34</v>
      </c>
      <c r="Y33" s="41">
        <v>163000</v>
      </c>
      <c r="Z33" s="42">
        <v>0.8</v>
      </c>
      <c r="AA33" s="40">
        <f t="shared" si="4"/>
        <v>4433600</v>
      </c>
      <c r="AB33" s="40">
        <f t="shared" si="6"/>
        <v>116280000</v>
      </c>
      <c r="AC33" s="40">
        <f t="shared" si="5"/>
        <v>4360500</v>
      </c>
      <c r="AD33" s="40">
        <f t="shared" si="7"/>
        <v>0</v>
      </c>
      <c r="AE33" s="56">
        <f t="shared" si="8"/>
        <v>148330100</v>
      </c>
      <c r="AF33" s="504"/>
      <c r="AG33" s="6"/>
      <c r="AH33" s="43"/>
      <c r="AI33" s="3"/>
      <c r="AJ33" s="4"/>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row>
    <row r="34" spans="1:249" s="2" customFormat="1" ht="54.75" customHeight="1" x14ac:dyDescent="0.25">
      <c r="A34" s="94">
        <v>7</v>
      </c>
      <c r="B34" s="95" t="s">
        <v>207</v>
      </c>
      <c r="C34" s="246"/>
      <c r="D34" s="246"/>
      <c r="E34" s="247"/>
      <c r="F34" s="215" t="s">
        <v>119</v>
      </c>
      <c r="G34" s="210">
        <v>28</v>
      </c>
      <c r="H34" s="210">
        <v>614</v>
      </c>
      <c r="I34" s="211"/>
      <c r="J34" s="213"/>
      <c r="K34" s="48"/>
      <c r="L34" s="48"/>
      <c r="M34" s="48"/>
      <c r="N34" s="49"/>
      <c r="O34" s="49"/>
      <c r="P34" s="49"/>
      <c r="Q34" s="50"/>
      <c r="R34" s="55"/>
      <c r="S34" s="183"/>
      <c r="T34" s="40"/>
      <c r="U34" s="40"/>
      <c r="V34" s="99" t="s">
        <v>320</v>
      </c>
      <c r="W34" s="241" t="s">
        <v>61</v>
      </c>
      <c r="X34" s="242">
        <f>58-34</f>
        <v>24</v>
      </c>
      <c r="Y34" s="41">
        <v>123000</v>
      </c>
      <c r="Z34" s="42">
        <v>0.8</v>
      </c>
      <c r="AA34" s="40">
        <f t="shared" si="4"/>
        <v>2361600</v>
      </c>
      <c r="AB34" s="40">
        <f t="shared" si="6"/>
        <v>0</v>
      </c>
      <c r="AC34" s="40">
        <f t="shared" si="5"/>
        <v>0</v>
      </c>
      <c r="AD34" s="40">
        <f t="shared" si="7"/>
        <v>0</v>
      </c>
      <c r="AE34" s="56">
        <f t="shared" si="8"/>
        <v>2361600</v>
      </c>
      <c r="AF34" s="504"/>
      <c r="AG34" s="6"/>
      <c r="AH34" s="43"/>
      <c r="AI34" s="3"/>
      <c r="AJ34" s="4"/>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row>
    <row r="35" spans="1:249" s="2" customFormat="1" ht="91.5" customHeight="1" x14ac:dyDescent="0.25">
      <c r="A35" s="94">
        <v>7</v>
      </c>
      <c r="B35" s="95" t="s">
        <v>207</v>
      </c>
      <c r="C35" s="246"/>
      <c r="D35" s="246"/>
      <c r="E35" s="247"/>
      <c r="F35" s="215" t="s">
        <v>119</v>
      </c>
      <c r="G35" s="210">
        <v>28</v>
      </c>
      <c r="H35" s="210">
        <v>614</v>
      </c>
      <c r="I35" s="211"/>
      <c r="J35" s="213"/>
      <c r="K35" s="48"/>
      <c r="L35" s="48"/>
      <c r="M35" s="48"/>
      <c r="N35" s="49"/>
      <c r="O35" s="49"/>
      <c r="P35" s="49"/>
      <c r="Q35" s="50"/>
      <c r="R35" s="55"/>
      <c r="S35" s="183"/>
      <c r="T35" s="40"/>
      <c r="U35" s="40"/>
      <c r="V35" s="99" t="s">
        <v>321</v>
      </c>
      <c r="W35" s="241" t="s">
        <v>61</v>
      </c>
      <c r="X35" s="242">
        <f>120-24</f>
        <v>96</v>
      </c>
      <c r="Y35" s="174">
        <f>118000*30%</f>
        <v>35400</v>
      </c>
      <c r="Z35" s="178">
        <v>0.8</v>
      </c>
      <c r="AA35" s="40">
        <f t="shared" si="4"/>
        <v>2718720</v>
      </c>
      <c r="AB35" s="40">
        <f t="shared" si="6"/>
        <v>0</v>
      </c>
      <c r="AC35" s="40">
        <f t="shared" si="5"/>
        <v>0</v>
      </c>
      <c r="AD35" s="40">
        <f t="shared" si="7"/>
        <v>0</v>
      </c>
      <c r="AE35" s="56">
        <f t="shared" si="8"/>
        <v>2718720</v>
      </c>
      <c r="AF35" s="504"/>
      <c r="AG35" s="264" t="s">
        <v>307</v>
      </c>
      <c r="AH35" s="43">
        <f>96*35400*80%</f>
        <v>2718720</v>
      </c>
      <c r="AI35" s="3"/>
      <c r="AJ35" s="4"/>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row>
    <row r="36" spans="1:249" s="2" customFormat="1" ht="66.75" customHeight="1" x14ac:dyDescent="0.25">
      <c r="A36" s="94">
        <v>7</v>
      </c>
      <c r="B36" s="95" t="s">
        <v>207</v>
      </c>
      <c r="C36" s="246">
        <v>5</v>
      </c>
      <c r="D36" s="246">
        <v>64</v>
      </c>
      <c r="E36" s="216">
        <v>288</v>
      </c>
      <c r="F36" s="214" t="s">
        <v>33</v>
      </c>
      <c r="G36" s="210">
        <v>28</v>
      </c>
      <c r="H36" s="210">
        <v>784</v>
      </c>
      <c r="I36" s="211">
        <v>876.3</v>
      </c>
      <c r="J36" s="213" t="s">
        <v>7</v>
      </c>
      <c r="K36" s="48">
        <v>288</v>
      </c>
      <c r="L36" s="48">
        <f>350.5-288</f>
        <v>62.5</v>
      </c>
      <c r="M36" s="48"/>
      <c r="N36" s="49"/>
      <c r="O36" s="49"/>
      <c r="P36" s="49"/>
      <c r="Q36" s="50">
        <f t="shared" ref="Q36" si="13">K36+L36+M36+N36+O36+P36</f>
        <v>350.5</v>
      </c>
      <c r="R36" s="55" t="str">
        <f t="shared" ref="R36" si="14">J36</f>
        <v>LUC</v>
      </c>
      <c r="S36" s="183"/>
      <c r="T36" s="40">
        <v>80000</v>
      </c>
      <c r="U36" s="40">
        <f t="shared" ref="U36" si="15">(K36+L36+N36+O36)*T36</f>
        <v>28040000</v>
      </c>
      <c r="V36" s="99" t="s">
        <v>259</v>
      </c>
      <c r="W36" s="241" t="s">
        <v>61</v>
      </c>
      <c r="X36" s="242">
        <v>70</v>
      </c>
      <c r="Y36" s="267">
        <v>34000</v>
      </c>
      <c r="Z36" s="178">
        <v>0.8</v>
      </c>
      <c r="AA36" s="40">
        <f t="shared" si="4"/>
        <v>1904000</v>
      </c>
      <c r="AB36" s="40">
        <f t="shared" si="6"/>
        <v>140200000</v>
      </c>
      <c r="AC36" s="40">
        <f t="shared" si="5"/>
        <v>5257500</v>
      </c>
      <c r="AD36" s="40">
        <f t="shared" si="7"/>
        <v>0</v>
      </c>
      <c r="AE36" s="56">
        <f t="shared" si="8"/>
        <v>175401500</v>
      </c>
      <c r="AF36" s="504"/>
      <c r="AG36" s="69" t="s">
        <v>211</v>
      </c>
      <c r="AH36" s="43">
        <f>Q36*9000</f>
        <v>3154500</v>
      </c>
      <c r="AI36" s="3"/>
      <c r="AJ36" s="4"/>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row>
    <row r="37" spans="1:249" s="2" customFormat="1" ht="93.75" customHeight="1" x14ac:dyDescent="0.25">
      <c r="A37" s="94">
        <v>7</v>
      </c>
      <c r="B37" s="95" t="s">
        <v>207</v>
      </c>
      <c r="C37" s="246"/>
      <c r="D37" s="246"/>
      <c r="E37" s="216"/>
      <c r="F37" s="214" t="s">
        <v>33</v>
      </c>
      <c r="G37" s="210">
        <v>28</v>
      </c>
      <c r="H37" s="210">
        <v>784</v>
      </c>
      <c r="I37" s="211"/>
      <c r="J37" s="213"/>
      <c r="K37" s="48"/>
      <c r="L37" s="48"/>
      <c r="M37" s="48"/>
      <c r="N37" s="49"/>
      <c r="O37" s="49"/>
      <c r="P37" s="49"/>
      <c r="Q37" s="50"/>
      <c r="R37" s="55">
        <f t="shared" si="1"/>
        <v>0</v>
      </c>
      <c r="S37" s="183"/>
      <c r="T37" s="40"/>
      <c r="U37" s="40">
        <f t="shared" si="2"/>
        <v>0</v>
      </c>
      <c r="V37" s="99" t="s">
        <v>259</v>
      </c>
      <c r="W37" s="241" t="s">
        <v>61</v>
      </c>
      <c r="X37" s="242">
        <v>150</v>
      </c>
      <c r="Y37" s="174">
        <f>34000*30%</f>
        <v>10200</v>
      </c>
      <c r="Z37" s="178">
        <v>0.8</v>
      </c>
      <c r="AA37" s="40">
        <f t="shared" si="4"/>
        <v>1224000</v>
      </c>
      <c r="AB37" s="40">
        <f t="shared" si="6"/>
        <v>0</v>
      </c>
      <c r="AC37" s="40">
        <f t="shared" si="5"/>
        <v>0</v>
      </c>
      <c r="AD37" s="40">
        <f t="shared" si="7"/>
        <v>0</v>
      </c>
      <c r="AE37" s="56">
        <f t="shared" si="8"/>
        <v>1224000</v>
      </c>
      <c r="AF37" s="504"/>
      <c r="AG37" s="264" t="s">
        <v>262</v>
      </c>
      <c r="AH37" s="43">
        <f>Q37*9000</f>
        <v>0</v>
      </c>
      <c r="AI37" s="3"/>
      <c r="AJ37" s="4"/>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row>
    <row r="38" spans="1:249" s="2" customFormat="1" ht="67.5" customHeight="1" x14ac:dyDescent="0.25">
      <c r="A38" s="94">
        <v>8</v>
      </c>
      <c r="B38" s="266" t="s">
        <v>208</v>
      </c>
      <c r="C38" s="246">
        <v>5</v>
      </c>
      <c r="D38" s="246">
        <v>64</v>
      </c>
      <c r="E38" s="247">
        <v>432</v>
      </c>
      <c r="F38" s="214" t="s">
        <v>33</v>
      </c>
      <c r="G38" s="210">
        <v>28</v>
      </c>
      <c r="H38" s="210">
        <v>784</v>
      </c>
      <c r="I38" s="211">
        <v>876.3</v>
      </c>
      <c r="J38" s="213" t="s">
        <v>7</v>
      </c>
      <c r="K38" s="48">
        <v>432</v>
      </c>
      <c r="L38" s="48">
        <f>525.8-432</f>
        <v>93.799999999999955</v>
      </c>
      <c r="M38" s="48"/>
      <c r="N38" s="49"/>
      <c r="O38" s="49"/>
      <c r="P38" s="49"/>
      <c r="Q38" s="50">
        <f t="shared" si="0"/>
        <v>525.79999999999995</v>
      </c>
      <c r="R38" s="55" t="str">
        <f t="shared" si="1"/>
        <v>LUC</v>
      </c>
      <c r="S38" s="183"/>
      <c r="T38" s="40">
        <v>80000</v>
      </c>
      <c r="U38" s="40">
        <f t="shared" si="2"/>
        <v>42064000</v>
      </c>
      <c r="V38" s="99" t="s">
        <v>259</v>
      </c>
      <c r="W38" s="241" t="s">
        <v>61</v>
      </c>
      <c r="X38" s="242">
        <v>105</v>
      </c>
      <c r="Y38" s="267">
        <v>34000</v>
      </c>
      <c r="Z38" s="178">
        <v>0.8</v>
      </c>
      <c r="AA38" s="71">
        <f t="shared" si="4"/>
        <v>2856000</v>
      </c>
      <c r="AB38" s="71">
        <f t="shared" si="6"/>
        <v>210320000</v>
      </c>
      <c r="AC38" s="71">
        <f t="shared" si="5"/>
        <v>7886999.9999999991</v>
      </c>
      <c r="AD38" s="40">
        <f t="shared" si="7"/>
        <v>0</v>
      </c>
      <c r="AE38" s="175">
        <f t="shared" si="8"/>
        <v>263127000</v>
      </c>
      <c r="AF38" s="506">
        <f>SUM(AE38:AE39)</f>
        <v>265371000</v>
      </c>
      <c r="AG38" s="69" t="s">
        <v>210</v>
      </c>
      <c r="AH38" s="176">
        <f>528.5*9000</f>
        <v>4756500</v>
      </c>
      <c r="AI38" s="177"/>
      <c r="AJ38" s="4"/>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row>
    <row r="39" spans="1:249" s="2" customFormat="1" ht="94.5" customHeight="1" x14ac:dyDescent="0.25">
      <c r="A39" s="94">
        <v>8</v>
      </c>
      <c r="B39" s="266" t="s">
        <v>208</v>
      </c>
      <c r="C39" s="246"/>
      <c r="D39" s="246"/>
      <c r="E39" s="247"/>
      <c r="F39" s="214" t="s">
        <v>33</v>
      </c>
      <c r="G39" s="210">
        <v>28</v>
      </c>
      <c r="H39" s="210">
        <v>784</v>
      </c>
      <c r="I39" s="211"/>
      <c r="J39" s="212"/>
      <c r="K39" s="48"/>
      <c r="L39" s="48"/>
      <c r="M39" s="48"/>
      <c r="N39" s="49"/>
      <c r="O39" s="49"/>
      <c r="P39" s="49"/>
      <c r="Q39" s="50">
        <f t="shared" si="0"/>
        <v>0</v>
      </c>
      <c r="R39" s="55">
        <f t="shared" si="1"/>
        <v>0</v>
      </c>
      <c r="S39" s="183"/>
      <c r="T39" s="40">
        <v>80000</v>
      </c>
      <c r="U39" s="40">
        <f t="shared" si="2"/>
        <v>0</v>
      </c>
      <c r="V39" s="99" t="s">
        <v>259</v>
      </c>
      <c r="W39" s="241" t="s">
        <v>61</v>
      </c>
      <c r="X39" s="242">
        <f>600-70-150-105</f>
        <v>275</v>
      </c>
      <c r="Y39" s="174">
        <f>34000*30%</f>
        <v>10200</v>
      </c>
      <c r="Z39" s="178">
        <v>0.8</v>
      </c>
      <c r="AA39" s="71">
        <f t="shared" si="4"/>
        <v>2244000</v>
      </c>
      <c r="AB39" s="71">
        <f t="shared" si="6"/>
        <v>0</v>
      </c>
      <c r="AC39" s="71">
        <f t="shared" si="5"/>
        <v>0</v>
      </c>
      <c r="AD39" s="40">
        <f t="shared" si="7"/>
        <v>0</v>
      </c>
      <c r="AE39" s="175">
        <f t="shared" si="8"/>
        <v>2244000</v>
      </c>
      <c r="AF39" s="506"/>
      <c r="AG39" s="264" t="s">
        <v>262</v>
      </c>
      <c r="AH39" s="176" t="s">
        <v>270</v>
      </c>
      <c r="AI39" s="177"/>
      <c r="AJ39" s="4"/>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row>
    <row r="40" spans="1:249" s="2" customFormat="1" ht="39" customHeight="1" x14ac:dyDescent="0.25">
      <c r="A40" s="94">
        <v>9</v>
      </c>
      <c r="B40" s="266" t="s">
        <v>213</v>
      </c>
      <c r="C40" s="246">
        <v>5</v>
      </c>
      <c r="D40" s="246">
        <v>70</v>
      </c>
      <c r="E40" s="247">
        <v>600</v>
      </c>
      <c r="F40" s="214" t="s">
        <v>33</v>
      </c>
      <c r="G40" s="210">
        <v>29</v>
      </c>
      <c r="H40" s="210">
        <v>14</v>
      </c>
      <c r="I40" s="211">
        <v>668.6</v>
      </c>
      <c r="J40" s="213" t="s">
        <v>7</v>
      </c>
      <c r="K40" s="48">
        <v>600</v>
      </c>
      <c r="L40" s="48">
        <v>68.599999999999994</v>
      </c>
      <c r="M40" s="48"/>
      <c r="N40" s="49"/>
      <c r="O40" s="49"/>
      <c r="P40" s="49"/>
      <c r="Q40" s="50">
        <f t="shared" si="0"/>
        <v>668.6</v>
      </c>
      <c r="R40" s="55" t="str">
        <f t="shared" si="1"/>
        <v>LUC</v>
      </c>
      <c r="S40" s="183"/>
      <c r="T40" s="40">
        <v>80000</v>
      </c>
      <c r="U40" s="40">
        <f t="shared" si="2"/>
        <v>53488000</v>
      </c>
      <c r="V40" s="96" t="s">
        <v>64</v>
      </c>
      <c r="W40" s="241" t="s">
        <v>24</v>
      </c>
      <c r="X40" s="242">
        <f t="shared" ref="X40:X45" si="16">Q40</f>
        <v>668.6</v>
      </c>
      <c r="Y40" s="41">
        <v>9000</v>
      </c>
      <c r="Z40" s="42">
        <v>1</v>
      </c>
      <c r="AA40" s="40">
        <f t="shared" si="4"/>
        <v>6017400</v>
      </c>
      <c r="AB40" s="40">
        <f t="shared" si="6"/>
        <v>267440000</v>
      </c>
      <c r="AC40" s="40">
        <f t="shared" si="5"/>
        <v>10029000</v>
      </c>
      <c r="AD40" s="40">
        <f t="shared" si="7"/>
        <v>0</v>
      </c>
      <c r="AE40" s="56">
        <f t="shared" si="8"/>
        <v>336974400</v>
      </c>
      <c r="AF40" s="504">
        <f>SUM(AE40:AE42)</f>
        <v>619063200</v>
      </c>
      <c r="AG40" s="6"/>
      <c r="AH40" s="43"/>
      <c r="AI40" s="3"/>
      <c r="AJ40" s="4"/>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row>
    <row r="41" spans="1:249" s="2" customFormat="1" ht="38.25" customHeight="1" x14ac:dyDescent="0.25">
      <c r="A41" s="94">
        <v>9</v>
      </c>
      <c r="B41" s="266" t="s">
        <v>213</v>
      </c>
      <c r="C41" s="246">
        <v>5</v>
      </c>
      <c r="D41" s="246">
        <v>33</v>
      </c>
      <c r="E41" s="247">
        <v>480</v>
      </c>
      <c r="F41" s="214" t="s">
        <v>33</v>
      </c>
      <c r="G41" s="210">
        <v>29</v>
      </c>
      <c r="H41" s="210">
        <v>41</v>
      </c>
      <c r="I41" s="211">
        <v>2954.6</v>
      </c>
      <c r="J41" s="213" t="s">
        <v>53</v>
      </c>
      <c r="K41" s="48">
        <v>480</v>
      </c>
      <c r="L41" s="48"/>
      <c r="M41" s="48"/>
      <c r="N41" s="49"/>
      <c r="O41" s="49"/>
      <c r="P41" s="49"/>
      <c r="Q41" s="50">
        <f t="shared" si="0"/>
        <v>480</v>
      </c>
      <c r="R41" s="55" t="s">
        <v>7</v>
      </c>
      <c r="S41" s="183"/>
      <c r="T41" s="40">
        <v>80000</v>
      </c>
      <c r="U41" s="40">
        <f t="shared" si="2"/>
        <v>38400000</v>
      </c>
      <c r="V41" s="96" t="s">
        <v>64</v>
      </c>
      <c r="W41" s="241" t="s">
        <v>24</v>
      </c>
      <c r="X41" s="242">
        <f t="shared" si="16"/>
        <v>480</v>
      </c>
      <c r="Y41" s="41">
        <v>9000</v>
      </c>
      <c r="Z41" s="42">
        <v>1</v>
      </c>
      <c r="AA41" s="40">
        <f t="shared" si="4"/>
        <v>4320000</v>
      </c>
      <c r="AB41" s="40">
        <f t="shared" si="6"/>
        <v>192000000</v>
      </c>
      <c r="AC41" s="40">
        <f t="shared" si="5"/>
        <v>7200000</v>
      </c>
      <c r="AD41" s="40">
        <f t="shared" si="7"/>
        <v>0</v>
      </c>
      <c r="AE41" s="56">
        <f t="shared" si="8"/>
        <v>241920000</v>
      </c>
      <c r="AF41" s="504"/>
      <c r="AG41" s="170" t="s">
        <v>62</v>
      </c>
      <c r="AH41" s="43"/>
      <c r="AI41" s="3"/>
      <c r="AJ41" s="4"/>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row>
    <row r="42" spans="1:249" s="2" customFormat="1" ht="71.25" customHeight="1" x14ac:dyDescent="0.25">
      <c r="A42" s="94">
        <v>9</v>
      </c>
      <c r="B42" s="266" t="s">
        <v>213</v>
      </c>
      <c r="C42" s="246">
        <v>5</v>
      </c>
      <c r="D42" s="246">
        <v>96</v>
      </c>
      <c r="E42" s="247">
        <v>24</v>
      </c>
      <c r="F42" s="214" t="s">
        <v>42</v>
      </c>
      <c r="G42" s="210">
        <v>28</v>
      </c>
      <c r="H42" s="210">
        <v>853</v>
      </c>
      <c r="I42" s="211">
        <v>82.8</v>
      </c>
      <c r="J42" s="213" t="s">
        <v>7</v>
      </c>
      <c r="K42" s="48">
        <f>24-3.1</f>
        <v>20.9</v>
      </c>
      <c r="L42" s="48">
        <f>I42-K42-3.1</f>
        <v>58.8</v>
      </c>
      <c r="M42" s="48"/>
      <c r="N42" s="49"/>
      <c r="O42" s="49"/>
      <c r="P42" s="49"/>
      <c r="Q42" s="50">
        <f t="shared" si="0"/>
        <v>79.699999999999989</v>
      </c>
      <c r="R42" s="55" t="str">
        <f t="shared" si="1"/>
        <v>LUC</v>
      </c>
      <c r="S42" s="183">
        <v>3.1</v>
      </c>
      <c r="T42" s="40">
        <v>80000</v>
      </c>
      <c r="U42" s="40">
        <f t="shared" si="2"/>
        <v>6375999.9999999991</v>
      </c>
      <c r="V42" s="96" t="s">
        <v>64</v>
      </c>
      <c r="W42" s="241" t="s">
        <v>24</v>
      </c>
      <c r="X42" s="242">
        <f t="shared" si="16"/>
        <v>79.699999999999989</v>
      </c>
      <c r="Y42" s="41">
        <v>9000</v>
      </c>
      <c r="Z42" s="42">
        <v>1</v>
      </c>
      <c r="AA42" s="40">
        <f t="shared" si="4"/>
        <v>717299.99999999988</v>
      </c>
      <c r="AB42" s="40">
        <f t="shared" si="6"/>
        <v>31879999.999999996</v>
      </c>
      <c r="AC42" s="40">
        <f t="shared" si="5"/>
        <v>1195499.9999999998</v>
      </c>
      <c r="AD42" s="40">
        <f t="shared" si="7"/>
        <v>0</v>
      </c>
      <c r="AE42" s="56">
        <f t="shared" si="8"/>
        <v>40168799.999999993</v>
      </c>
      <c r="AF42" s="504"/>
      <c r="AG42" s="44" t="s">
        <v>125</v>
      </c>
      <c r="AH42" s="43"/>
      <c r="AI42" s="3"/>
      <c r="AJ42" s="4"/>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row>
    <row r="43" spans="1:249" s="2" customFormat="1" ht="39" customHeight="1" x14ac:dyDescent="0.25">
      <c r="A43" s="94">
        <v>10</v>
      </c>
      <c r="B43" s="95" t="s">
        <v>214</v>
      </c>
      <c r="C43" s="66">
        <v>5</v>
      </c>
      <c r="D43" s="66">
        <v>65</v>
      </c>
      <c r="E43" s="67">
        <v>1512</v>
      </c>
      <c r="F43" s="66" t="s">
        <v>33</v>
      </c>
      <c r="G43" s="268">
        <v>29</v>
      </c>
      <c r="H43" s="268">
        <v>55</v>
      </c>
      <c r="I43" s="269">
        <v>1415.1</v>
      </c>
      <c r="J43" s="270" t="s">
        <v>7</v>
      </c>
      <c r="K43" s="48">
        <v>1415.1</v>
      </c>
      <c r="L43" s="48"/>
      <c r="M43" s="48"/>
      <c r="N43" s="49"/>
      <c r="O43" s="49"/>
      <c r="P43" s="49"/>
      <c r="Q43" s="50">
        <f t="shared" si="0"/>
        <v>1415.1</v>
      </c>
      <c r="R43" s="55" t="str">
        <f t="shared" si="1"/>
        <v>LUC</v>
      </c>
      <c r="S43" s="182"/>
      <c r="T43" s="40">
        <v>80000</v>
      </c>
      <c r="U43" s="40">
        <f>(K43+L43+N43+O43)*T43</f>
        <v>113208000</v>
      </c>
      <c r="V43" s="96" t="s">
        <v>64</v>
      </c>
      <c r="W43" s="241" t="s">
        <v>24</v>
      </c>
      <c r="X43" s="242">
        <f t="shared" si="16"/>
        <v>1415.1</v>
      </c>
      <c r="Y43" s="41">
        <v>9000</v>
      </c>
      <c r="Z43" s="42">
        <v>1</v>
      </c>
      <c r="AA43" s="40">
        <f t="shared" si="4"/>
        <v>12735900</v>
      </c>
      <c r="AB43" s="40">
        <f t="shared" si="6"/>
        <v>566040000</v>
      </c>
      <c r="AC43" s="40">
        <f t="shared" si="5"/>
        <v>21226500</v>
      </c>
      <c r="AD43" s="40">
        <f t="shared" si="7"/>
        <v>0</v>
      </c>
      <c r="AE43" s="56">
        <f t="shared" si="8"/>
        <v>713210400</v>
      </c>
      <c r="AF43" s="56">
        <f>AE43</f>
        <v>713210400</v>
      </c>
      <c r="AG43" s="6">
        <f>Q43-E43</f>
        <v>-96.900000000000091</v>
      </c>
      <c r="AH43" s="43"/>
      <c r="AI43" s="3"/>
      <c r="AJ43" s="4"/>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row>
    <row r="44" spans="1:249" s="2" customFormat="1" ht="34.5" customHeight="1" x14ac:dyDescent="0.25">
      <c r="A44" s="94">
        <v>11</v>
      </c>
      <c r="B44" s="95" t="s">
        <v>215</v>
      </c>
      <c r="C44" s="246"/>
      <c r="D44" s="246"/>
      <c r="E44" s="247"/>
      <c r="F44" s="215" t="s">
        <v>46</v>
      </c>
      <c r="G44" s="210">
        <v>28</v>
      </c>
      <c r="H44" s="210">
        <v>726</v>
      </c>
      <c r="I44" s="211">
        <v>293.60000000000002</v>
      </c>
      <c r="J44" s="213" t="s">
        <v>43</v>
      </c>
      <c r="K44" s="48"/>
      <c r="L44" s="48">
        <v>293.60000000000002</v>
      </c>
      <c r="M44" s="48"/>
      <c r="N44" s="49"/>
      <c r="O44" s="49"/>
      <c r="P44" s="49"/>
      <c r="Q44" s="50">
        <f t="shared" si="0"/>
        <v>293.60000000000002</v>
      </c>
      <c r="R44" s="55" t="str">
        <f t="shared" si="1"/>
        <v>BHK</v>
      </c>
      <c r="S44" s="182"/>
      <c r="T44" s="40">
        <v>80000</v>
      </c>
      <c r="U44" s="40">
        <f>(K44+L44+N44+O44)*T44</f>
        <v>23488000</v>
      </c>
      <c r="V44" s="96" t="s">
        <v>64</v>
      </c>
      <c r="W44" s="241" t="s">
        <v>24</v>
      </c>
      <c r="X44" s="242">
        <f t="shared" si="16"/>
        <v>293.60000000000002</v>
      </c>
      <c r="Y44" s="41">
        <v>9000</v>
      </c>
      <c r="Z44" s="42">
        <v>1</v>
      </c>
      <c r="AA44" s="40">
        <f t="shared" si="4"/>
        <v>2642400</v>
      </c>
      <c r="AB44" s="40">
        <f t="shared" si="6"/>
        <v>117440000</v>
      </c>
      <c r="AC44" s="40">
        <f t="shared" si="5"/>
        <v>4404000</v>
      </c>
      <c r="AD44" s="40">
        <f t="shared" si="7"/>
        <v>0</v>
      </c>
      <c r="AE44" s="56">
        <f t="shared" si="8"/>
        <v>147974400</v>
      </c>
      <c r="AF44" s="504">
        <f>SUM(AE44:AE45)</f>
        <v>499212000</v>
      </c>
      <c r="AG44" s="44" t="s">
        <v>308</v>
      </c>
      <c r="AH44" s="43"/>
      <c r="AI44" s="3"/>
      <c r="AJ44" s="4"/>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row>
    <row r="45" spans="1:249" s="2" customFormat="1" ht="32.25" customHeight="1" x14ac:dyDescent="0.25">
      <c r="A45" s="94">
        <v>11</v>
      </c>
      <c r="B45" s="95" t="s">
        <v>215</v>
      </c>
      <c r="C45" s="246">
        <v>5</v>
      </c>
      <c r="D45" s="246">
        <v>67</v>
      </c>
      <c r="E45" s="247">
        <v>648</v>
      </c>
      <c r="F45" s="214" t="s">
        <v>33</v>
      </c>
      <c r="G45" s="210">
        <v>29</v>
      </c>
      <c r="H45" s="210">
        <v>27</v>
      </c>
      <c r="I45" s="211">
        <v>696.9</v>
      </c>
      <c r="J45" s="213" t="s">
        <v>7</v>
      </c>
      <c r="K45" s="48">
        <v>648</v>
      </c>
      <c r="L45" s="48">
        <f>I45-K45</f>
        <v>48.899999999999977</v>
      </c>
      <c r="M45" s="48"/>
      <c r="N45" s="49"/>
      <c r="O45" s="49"/>
      <c r="P45" s="49"/>
      <c r="Q45" s="50">
        <f t="shared" si="0"/>
        <v>696.9</v>
      </c>
      <c r="R45" s="55" t="str">
        <f t="shared" si="1"/>
        <v>LUC</v>
      </c>
      <c r="S45" s="182"/>
      <c r="T45" s="40">
        <v>80000</v>
      </c>
      <c r="U45" s="40">
        <f>(K45+L45+N45+O45)*T45</f>
        <v>55752000</v>
      </c>
      <c r="V45" s="96" t="s">
        <v>64</v>
      </c>
      <c r="W45" s="241" t="s">
        <v>24</v>
      </c>
      <c r="X45" s="242">
        <f t="shared" si="16"/>
        <v>696.9</v>
      </c>
      <c r="Y45" s="41">
        <v>9000</v>
      </c>
      <c r="Z45" s="42">
        <v>1</v>
      </c>
      <c r="AA45" s="40">
        <f t="shared" si="4"/>
        <v>6272100</v>
      </c>
      <c r="AB45" s="40">
        <f t="shared" si="6"/>
        <v>278760000</v>
      </c>
      <c r="AC45" s="40">
        <f t="shared" si="5"/>
        <v>10453500</v>
      </c>
      <c r="AD45" s="40">
        <f t="shared" si="7"/>
        <v>0</v>
      </c>
      <c r="AE45" s="56">
        <f t="shared" si="8"/>
        <v>351237600</v>
      </c>
      <c r="AF45" s="504"/>
      <c r="AG45" s="6"/>
      <c r="AH45" s="43"/>
      <c r="AI45" s="3"/>
      <c r="AJ45" s="4"/>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row>
    <row r="46" spans="1:249" s="2" customFormat="1" ht="55.5" customHeight="1" x14ac:dyDescent="0.25">
      <c r="A46" s="94">
        <v>12</v>
      </c>
      <c r="B46" s="95" t="s">
        <v>216</v>
      </c>
      <c r="C46" s="246">
        <v>5</v>
      </c>
      <c r="D46" s="246">
        <v>131</v>
      </c>
      <c r="E46" s="247">
        <v>156</v>
      </c>
      <c r="F46" s="249" t="s">
        <v>44</v>
      </c>
      <c r="G46" s="210">
        <v>28</v>
      </c>
      <c r="H46" s="210">
        <v>547</v>
      </c>
      <c r="I46" s="211">
        <v>157.30000000000001</v>
      </c>
      <c r="J46" s="212" t="s">
        <v>48</v>
      </c>
      <c r="K46" s="48">
        <v>156</v>
      </c>
      <c r="L46" s="48">
        <v>1.3</v>
      </c>
      <c r="M46" s="48"/>
      <c r="N46" s="49"/>
      <c r="O46" s="49"/>
      <c r="P46" s="49"/>
      <c r="Q46" s="50">
        <f t="shared" si="0"/>
        <v>157.30000000000001</v>
      </c>
      <c r="R46" s="55" t="str">
        <f t="shared" si="1"/>
        <v>LUK</v>
      </c>
      <c r="S46" s="183"/>
      <c r="T46" s="40">
        <v>80000</v>
      </c>
      <c r="U46" s="40">
        <f>(K46+L46+N46+O46)*T46</f>
        <v>12584000</v>
      </c>
      <c r="V46" s="271" t="s">
        <v>303</v>
      </c>
      <c r="W46" s="241" t="s">
        <v>61</v>
      </c>
      <c r="X46" s="242">
        <v>20</v>
      </c>
      <c r="Y46" s="41">
        <v>1000000</v>
      </c>
      <c r="Z46" s="42">
        <v>0.8</v>
      </c>
      <c r="AA46" s="40">
        <f t="shared" si="4"/>
        <v>16000000</v>
      </c>
      <c r="AB46" s="40">
        <f t="shared" si="6"/>
        <v>62920000</v>
      </c>
      <c r="AC46" s="40">
        <f t="shared" si="5"/>
        <v>2359500</v>
      </c>
      <c r="AD46" s="40">
        <f t="shared" si="7"/>
        <v>0</v>
      </c>
      <c r="AE46" s="56">
        <f t="shared" si="8"/>
        <v>93863500</v>
      </c>
      <c r="AF46" s="504">
        <f>SUM(AE46:AE48)</f>
        <v>180859100</v>
      </c>
      <c r="AG46" s="164"/>
      <c r="AH46" s="43" t="s">
        <v>260</v>
      </c>
      <c r="AI46" s="3"/>
      <c r="AJ46" s="4"/>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row>
    <row r="47" spans="1:249" s="2" customFormat="1" ht="36" x14ac:dyDescent="0.25">
      <c r="A47" s="94">
        <v>12</v>
      </c>
      <c r="B47" s="95" t="s">
        <v>216</v>
      </c>
      <c r="C47" s="246"/>
      <c r="D47" s="246"/>
      <c r="E47" s="247"/>
      <c r="F47" s="248" t="s">
        <v>44</v>
      </c>
      <c r="G47" s="210">
        <v>28</v>
      </c>
      <c r="H47" s="210">
        <v>607</v>
      </c>
      <c r="I47" s="211">
        <v>171.9</v>
      </c>
      <c r="J47" s="212" t="s">
        <v>48</v>
      </c>
      <c r="K47" s="48"/>
      <c r="L47" s="48">
        <v>171.9</v>
      </c>
      <c r="M47" s="48"/>
      <c r="N47" s="49"/>
      <c r="O47" s="49"/>
      <c r="P47" s="49"/>
      <c r="Q47" s="50">
        <f t="shared" si="0"/>
        <v>171.9</v>
      </c>
      <c r="R47" s="55" t="str">
        <f t="shared" si="1"/>
        <v>LUK</v>
      </c>
      <c r="S47" s="183"/>
      <c r="T47" s="40">
        <v>80000</v>
      </c>
      <c r="U47" s="40">
        <f t="shared" ref="U47:U67" si="17">(K47+L47+N47+O47)*T47</f>
        <v>13752000</v>
      </c>
      <c r="V47" s="96" t="s">
        <v>64</v>
      </c>
      <c r="W47" s="241" t="s">
        <v>24</v>
      </c>
      <c r="X47" s="242">
        <f>171.9-X48</f>
        <v>151.9</v>
      </c>
      <c r="Y47" s="41">
        <v>9000</v>
      </c>
      <c r="Z47" s="42">
        <v>1</v>
      </c>
      <c r="AA47" s="40">
        <f t="shared" si="4"/>
        <v>1367100</v>
      </c>
      <c r="AB47" s="40">
        <f t="shared" si="6"/>
        <v>68760000</v>
      </c>
      <c r="AC47" s="40">
        <f t="shared" si="5"/>
        <v>2578500</v>
      </c>
      <c r="AD47" s="40">
        <f t="shared" si="7"/>
        <v>0</v>
      </c>
      <c r="AE47" s="56">
        <f t="shared" si="8"/>
        <v>86457600</v>
      </c>
      <c r="AF47" s="504"/>
      <c r="AG47" s="69"/>
      <c r="AH47" s="43" t="s">
        <v>261</v>
      </c>
      <c r="AI47" s="3"/>
      <c r="AJ47" s="4"/>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row>
    <row r="48" spans="1:249" s="2" customFormat="1" ht="36" x14ac:dyDescent="0.25">
      <c r="A48" s="94">
        <v>12</v>
      </c>
      <c r="B48" s="95" t="s">
        <v>216</v>
      </c>
      <c r="C48" s="246"/>
      <c r="D48" s="246"/>
      <c r="E48" s="247"/>
      <c r="F48" s="248" t="s">
        <v>44</v>
      </c>
      <c r="G48" s="210">
        <v>28</v>
      </c>
      <c r="H48" s="210">
        <v>607</v>
      </c>
      <c r="I48" s="211"/>
      <c r="J48" s="212"/>
      <c r="K48" s="48"/>
      <c r="L48" s="48"/>
      <c r="M48" s="48"/>
      <c r="N48" s="49"/>
      <c r="O48" s="49"/>
      <c r="P48" s="49"/>
      <c r="Q48" s="50"/>
      <c r="R48" s="55"/>
      <c r="S48" s="183"/>
      <c r="T48" s="40"/>
      <c r="U48" s="40">
        <f t="shared" si="17"/>
        <v>0</v>
      </c>
      <c r="V48" s="96" t="s">
        <v>309</v>
      </c>
      <c r="W48" s="241" t="s">
        <v>24</v>
      </c>
      <c r="X48" s="242">
        <v>20</v>
      </c>
      <c r="Y48" s="41">
        <v>26900</v>
      </c>
      <c r="Z48" s="42">
        <v>1</v>
      </c>
      <c r="AA48" s="40">
        <f t="shared" si="4"/>
        <v>538000</v>
      </c>
      <c r="AB48" s="40">
        <f t="shared" si="6"/>
        <v>0</v>
      </c>
      <c r="AC48" s="40">
        <f t="shared" si="5"/>
        <v>0</v>
      </c>
      <c r="AD48" s="40">
        <f t="shared" si="7"/>
        <v>0</v>
      </c>
      <c r="AE48" s="56">
        <f t="shared" si="8"/>
        <v>538000</v>
      </c>
      <c r="AF48" s="504"/>
      <c r="AG48" s="69"/>
      <c r="AH48" s="43" t="s">
        <v>217</v>
      </c>
      <c r="AI48" s="3"/>
      <c r="AJ48" s="4"/>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row>
    <row r="49" spans="1:249" s="2" customFormat="1" ht="30" customHeight="1" x14ac:dyDescent="0.25">
      <c r="A49" s="94">
        <v>13</v>
      </c>
      <c r="B49" s="95" t="s">
        <v>218</v>
      </c>
      <c r="C49" s="494">
        <v>5</v>
      </c>
      <c r="D49" s="494">
        <v>42</v>
      </c>
      <c r="E49" s="499">
        <v>504</v>
      </c>
      <c r="F49" s="214" t="s">
        <v>33</v>
      </c>
      <c r="G49" s="210">
        <v>29</v>
      </c>
      <c r="H49" s="210">
        <v>38</v>
      </c>
      <c r="I49" s="211">
        <v>368.9</v>
      </c>
      <c r="J49" s="213" t="s">
        <v>7</v>
      </c>
      <c r="K49" s="48">
        <v>368.9</v>
      </c>
      <c r="L49" s="48"/>
      <c r="M49" s="48"/>
      <c r="N49" s="49"/>
      <c r="O49" s="49"/>
      <c r="P49" s="49"/>
      <c r="Q49" s="50">
        <f t="shared" si="0"/>
        <v>368.9</v>
      </c>
      <c r="R49" s="55" t="str">
        <f t="shared" si="1"/>
        <v>LUC</v>
      </c>
      <c r="S49" s="183"/>
      <c r="T49" s="40">
        <v>80000</v>
      </c>
      <c r="U49" s="40">
        <f t="shared" si="17"/>
        <v>29512000</v>
      </c>
      <c r="V49" s="96" t="s">
        <v>64</v>
      </c>
      <c r="W49" s="241" t="s">
        <v>24</v>
      </c>
      <c r="X49" s="242">
        <f t="shared" ref="X49:X54" si="18">Q49</f>
        <v>368.9</v>
      </c>
      <c r="Y49" s="41">
        <v>9000</v>
      </c>
      <c r="Z49" s="42">
        <v>1</v>
      </c>
      <c r="AA49" s="40">
        <f t="shared" si="4"/>
        <v>3320100</v>
      </c>
      <c r="AB49" s="40">
        <f t="shared" si="6"/>
        <v>147560000</v>
      </c>
      <c r="AC49" s="40">
        <f t="shared" si="5"/>
        <v>5533500</v>
      </c>
      <c r="AD49" s="40">
        <f t="shared" si="7"/>
        <v>0</v>
      </c>
      <c r="AE49" s="56">
        <f t="shared" si="8"/>
        <v>185925600</v>
      </c>
      <c r="AF49" s="504">
        <f>SUM(AE49:AE53)</f>
        <v>1085011200</v>
      </c>
      <c r="AG49" s="69"/>
      <c r="AH49" s="43"/>
      <c r="AI49" s="3"/>
      <c r="AJ49" s="4"/>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row>
    <row r="50" spans="1:249" s="2" customFormat="1" ht="30" customHeight="1" x14ac:dyDescent="0.25">
      <c r="A50" s="94">
        <v>13</v>
      </c>
      <c r="B50" s="95" t="s">
        <v>218</v>
      </c>
      <c r="C50" s="494"/>
      <c r="D50" s="494"/>
      <c r="E50" s="499"/>
      <c r="F50" s="214" t="s">
        <v>33</v>
      </c>
      <c r="G50" s="210">
        <v>29</v>
      </c>
      <c r="H50" s="210">
        <v>40</v>
      </c>
      <c r="I50" s="211">
        <v>244.8</v>
      </c>
      <c r="J50" s="213" t="s">
        <v>7</v>
      </c>
      <c r="K50" s="48">
        <f>504-368.9</f>
        <v>135.10000000000002</v>
      </c>
      <c r="L50" s="48">
        <f>I49+I50-K49-K50</f>
        <v>109.70000000000005</v>
      </c>
      <c r="M50" s="48"/>
      <c r="N50" s="49"/>
      <c r="O50" s="49"/>
      <c r="P50" s="49"/>
      <c r="Q50" s="50">
        <f t="shared" si="0"/>
        <v>244.80000000000007</v>
      </c>
      <c r="R50" s="55" t="str">
        <f t="shared" si="1"/>
        <v>LUC</v>
      </c>
      <c r="S50" s="183"/>
      <c r="T50" s="40">
        <v>80000</v>
      </c>
      <c r="U50" s="40">
        <f t="shared" si="17"/>
        <v>19584000.000000004</v>
      </c>
      <c r="V50" s="96" t="s">
        <v>64</v>
      </c>
      <c r="W50" s="241" t="s">
        <v>24</v>
      </c>
      <c r="X50" s="242">
        <f t="shared" si="18"/>
        <v>244.80000000000007</v>
      </c>
      <c r="Y50" s="41">
        <v>9000</v>
      </c>
      <c r="Z50" s="42">
        <v>1</v>
      </c>
      <c r="AA50" s="40">
        <f t="shared" si="4"/>
        <v>2203200.0000000005</v>
      </c>
      <c r="AB50" s="40">
        <f t="shared" si="6"/>
        <v>97920000.000000015</v>
      </c>
      <c r="AC50" s="40">
        <f t="shared" si="5"/>
        <v>3672000.0000000009</v>
      </c>
      <c r="AD50" s="40">
        <f t="shared" si="7"/>
        <v>0</v>
      </c>
      <c r="AE50" s="56">
        <f t="shared" si="8"/>
        <v>123379200.00000001</v>
      </c>
      <c r="AF50" s="504"/>
      <c r="AG50" s="69"/>
      <c r="AH50" s="43"/>
      <c r="AI50" s="3"/>
      <c r="AJ50" s="4"/>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row>
    <row r="51" spans="1:249" s="2" customFormat="1" ht="30" customHeight="1" x14ac:dyDescent="0.25">
      <c r="A51" s="94">
        <v>13</v>
      </c>
      <c r="B51" s="95" t="s">
        <v>218</v>
      </c>
      <c r="C51" s="246">
        <v>5</v>
      </c>
      <c r="D51" s="246">
        <v>37</v>
      </c>
      <c r="E51" s="247">
        <v>792</v>
      </c>
      <c r="F51" s="214" t="s">
        <v>33</v>
      </c>
      <c r="G51" s="210">
        <v>29</v>
      </c>
      <c r="H51" s="210">
        <v>51</v>
      </c>
      <c r="I51" s="211">
        <v>788.7</v>
      </c>
      <c r="J51" s="213" t="s">
        <v>7</v>
      </c>
      <c r="K51" s="48">
        <v>788.7</v>
      </c>
      <c r="L51" s="48"/>
      <c r="M51" s="48"/>
      <c r="N51" s="49"/>
      <c r="O51" s="49"/>
      <c r="P51" s="49"/>
      <c r="Q51" s="50">
        <f t="shared" si="0"/>
        <v>788.7</v>
      </c>
      <c r="R51" s="55" t="str">
        <f t="shared" si="1"/>
        <v>LUC</v>
      </c>
      <c r="S51" s="183"/>
      <c r="T51" s="40">
        <v>80000</v>
      </c>
      <c r="U51" s="40">
        <f t="shared" si="17"/>
        <v>63096000</v>
      </c>
      <c r="V51" s="96" t="s">
        <v>64</v>
      </c>
      <c r="W51" s="241" t="s">
        <v>24</v>
      </c>
      <c r="X51" s="242">
        <f t="shared" si="18"/>
        <v>788.7</v>
      </c>
      <c r="Y51" s="41">
        <v>9000</v>
      </c>
      <c r="Z51" s="42">
        <v>1</v>
      </c>
      <c r="AA51" s="40">
        <f t="shared" si="4"/>
        <v>7098300</v>
      </c>
      <c r="AB51" s="40">
        <f t="shared" si="6"/>
        <v>315480000</v>
      </c>
      <c r="AC51" s="40">
        <f t="shared" si="5"/>
        <v>11830500</v>
      </c>
      <c r="AD51" s="40">
        <f t="shared" si="7"/>
        <v>0</v>
      </c>
      <c r="AE51" s="56">
        <f t="shared" si="8"/>
        <v>397504800</v>
      </c>
      <c r="AF51" s="504"/>
      <c r="AG51" s="69"/>
      <c r="AH51" s="166">
        <f>Q51-792</f>
        <v>-3.2999999999999545</v>
      </c>
      <c r="AI51" s="229"/>
      <c r="AJ51" s="4"/>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row>
    <row r="52" spans="1:249" s="2" customFormat="1" ht="30" customHeight="1" x14ac:dyDescent="0.25">
      <c r="A52" s="94">
        <v>13</v>
      </c>
      <c r="B52" s="95" t="s">
        <v>218</v>
      </c>
      <c r="C52" s="246">
        <v>5</v>
      </c>
      <c r="D52" s="246">
        <v>98</v>
      </c>
      <c r="E52" s="247">
        <v>288</v>
      </c>
      <c r="F52" s="215" t="s">
        <v>201</v>
      </c>
      <c r="G52" s="210">
        <v>28</v>
      </c>
      <c r="H52" s="210">
        <v>722</v>
      </c>
      <c r="I52" s="211">
        <v>302.2</v>
      </c>
      <c r="J52" s="213" t="s">
        <v>7</v>
      </c>
      <c r="K52" s="48">
        <v>288</v>
      </c>
      <c r="L52" s="48">
        <f>I52-K52</f>
        <v>14.199999999999989</v>
      </c>
      <c r="M52" s="48"/>
      <c r="N52" s="49"/>
      <c r="O52" s="49"/>
      <c r="P52" s="49"/>
      <c r="Q52" s="50">
        <f t="shared" si="0"/>
        <v>302.2</v>
      </c>
      <c r="R52" s="55" t="str">
        <f t="shared" si="1"/>
        <v>LUC</v>
      </c>
      <c r="S52" s="183"/>
      <c r="T52" s="40">
        <v>80000</v>
      </c>
      <c r="U52" s="40">
        <f t="shared" si="17"/>
        <v>24176000</v>
      </c>
      <c r="V52" s="96" t="s">
        <v>64</v>
      </c>
      <c r="W52" s="241" t="s">
        <v>24</v>
      </c>
      <c r="X52" s="242">
        <f t="shared" si="18"/>
        <v>302.2</v>
      </c>
      <c r="Y52" s="41">
        <v>9000</v>
      </c>
      <c r="Z52" s="42">
        <v>1</v>
      </c>
      <c r="AA52" s="40">
        <f t="shared" si="4"/>
        <v>2719800</v>
      </c>
      <c r="AB52" s="40">
        <f t="shared" si="6"/>
        <v>120880000</v>
      </c>
      <c r="AC52" s="40">
        <f t="shared" si="5"/>
        <v>4533000</v>
      </c>
      <c r="AD52" s="40">
        <f t="shared" si="7"/>
        <v>0</v>
      </c>
      <c r="AE52" s="56">
        <f t="shared" si="8"/>
        <v>152308800</v>
      </c>
      <c r="AF52" s="504"/>
      <c r="AG52" s="44"/>
      <c r="AH52" s="43"/>
      <c r="AI52" s="3"/>
      <c r="AJ52" s="4"/>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row>
    <row r="53" spans="1:249" s="2" customFormat="1" ht="30" customHeight="1" x14ac:dyDescent="0.25">
      <c r="A53" s="94">
        <v>13</v>
      </c>
      <c r="B53" s="95" t="s">
        <v>218</v>
      </c>
      <c r="C53" s="246"/>
      <c r="D53" s="246"/>
      <c r="E53" s="247"/>
      <c r="F53" s="214" t="s">
        <v>33</v>
      </c>
      <c r="G53" s="210">
        <v>29</v>
      </c>
      <c r="H53" s="210">
        <v>15</v>
      </c>
      <c r="I53" s="211">
        <v>448.2</v>
      </c>
      <c r="J53" s="213" t="s">
        <v>7</v>
      </c>
      <c r="K53" s="48"/>
      <c r="L53" s="48">
        <v>448.2</v>
      </c>
      <c r="M53" s="48"/>
      <c r="N53" s="49"/>
      <c r="O53" s="49"/>
      <c r="P53" s="49"/>
      <c r="Q53" s="50">
        <f t="shared" si="0"/>
        <v>448.2</v>
      </c>
      <c r="R53" s="55" t="str">
        <f t="shared" si="1"/>
        <v>LUC</v>
      </c>
      <c r="S53" s="183"/>
      <c r="T53" s="40">
        <v>80000</v>
      </c>
      <c r="U53" s="40">
        <f t="shared" si="17"/>
        <v>35856000</v>
      </c>
      <c r="V53" s="96" t="s">
        <v>64</v>
      </c>
      <c r="W53" s="241" t="s">
        <v>24</v>
      </c>
      <c r="X53" s="242">
        <f t="shared" si="18"/>
        <v>448.2</v>
      </c>
      <c r="Y53" s="41">
        <v>9000</v>
      </c>
      <c r="Z53" s="42">
        <v>1</v>
      </c>
      <c r="AA53" s="40">
        <f t="shared" si="4"/>
        <v>4033800</v>
      </c>
      <c r="AB53" s="40">
        <f t="shared" si="6"/>
        <v>179280000</v>
      </c>
      <c r="AC53" s="40">
        <f t="shared" si="5"/>
        <v>6723000</v>
      </c>
      <c r="AD53" s="40">
        <f t="shared" si="7"/>
        <v>0</v>
      </c>
      <c r="AE53" s="56">
        <f t="shared" si="8"/>
        <v>225892800</v>
      </c>
      <c r="AF53" s="504"/>
      <c r="AG53" s="44"/>
      <c r="AH53" s="43"/>
      <c r="AI53" s="3"/>
      <c r="AJ53" s="4"/>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row>
    <row r="54" spans="1:249" s="2" customFormat="1" ht="74.25" customHeight="1" x14ac:dyDescent="0.25">
      <c r="A54" s="94">
        <v>14</v>
      </c>
      <c r="B54" s="95" t="s">
        <v>219</v>
      </c>
      <c r="C54" s="246">
        <v>5</v>
      </c>
      <c r="D54" s="246">
        <v>135</v>
      </c>
      <c r="E54" s="247">
        <v>360</v>
      </c>
      <c r="F54" s="248" t="s">
        <v>201</v>
      </c>
      <c r="G54" s="210">
        <v>28</v>
      </c>
      <c r="H54" s="210">
        <v>720</v>
      </c>
      <c r="I54" s="211">
        <v>370.2</v>
      </c>
      <c r="J54" s="213" t="s">
        <v>7</v>
      </c>
      <c r="K54" s="48">
        <f>360-18.3</f>
        <v>341.7</v>
      </c>
      <c r="L54" s="48">
        <f>I54-K54-S54</f>
        <v>10.199999999999999</v>
      </c>
      <c r="M54" s="48"/>
      <c r="N54" s="49"/>
      <c r="O54" s="49"/>
      <c r="P54" s="49"/>
      <c r="Q54" s="50">
        <f t="shared" si="0"/>
        <v>351.9</v>
      </c>
      <c r="R54" s="55" t="str">
        <f t="shared" si="1"/>
        <v>LUC</v>
      </c>
      <c r="S54" s="183">
        <v>18.3</v>
      </c>
      <c r="T54" s="40">
        <v>80000</v>
      </c>
      <c r="U54" s="40">
        <f t="shared" si="17"/>
        <v>28152000</v>
      </c>
      <c r="V54" s="96" t="s">
        <v>64</v>
      </c>
      <c r="W54" s="241" t="s">
        <v>24</v>
      </c>
      <c r="X54" s="242">
        <f t="shared" si="18"/>
        <v>351.9</v>
      </c>
      <c r="Y54" s="41">
        <v>9000</v>
      </c>
      <c r="Z54" s="42">
        <v>1</v>
      </c>
      <c r="AA54" s="40">
        <f t="shared" si="4"/>
        <v>3167100</v>
      </c>
      <c r="AB54" s="40">
        <f t="shared" si="6"/>
        <v>140760000</v>
      </c>
      <c r="AC54" s="40">
        <f t="shared" si="5"/>
        <v>5278500</v>
      </c>
      <c r="AD54" s="40">
        <f t="shared" si="7"/>
        <v>0</v>
      </c>
      <c r="AE54" s="56">
        <f t="shared" si="8"/>
        <v>177357600</v>
      </c>
      <c r="AF54" s="56">
        <f>AE54</f>
        <v>177357600</v>
      </c>
      <c r="AG54" s="44" t="s">
        <v>138</v>
      </c>
      <c r="AH54" s="43"/>
      <c r="AI54" s="3"/>
      <c r="AJ54" s="4"/>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row>
    <row r="55" spans="1:249" s="237" customFormat="1" ht="36" x14ac:dyDescent="0.25">
      <c r="A55" s="94">
        <v>15</v>
      </c>
      <c r="B55" s="95" t="s">
        <v>199</v>
      </c>
      <c r="C55" s="246">
        <v>5</v>
      </c>
      <c r="D55" s="246">
        <v>64</v>
      </c>
      <c r="E55" s="216">
        <v>240</v>
      </c>
      <c r="F55" s="214" t="s">
        <v>33</v>
      </c>
      <c r="G55" s="210">
        <v>28</v>
      </c>
      <c r="H55" s="210">
        <v>782</v>
      </c>
      <c r="I55" s="211">
        <v>441.7</v>
      </c>
      <c r="J55" s="213" t="s">
        <v>7</v>
      </c>
      <c r="K55" s="48">
        <v>240</v>
      </c>
      <c r="L55" s="48"/>
      <c r="M55" s="48"/>
      <c r="N55" s="49"/>
      <c r="O55" s="49"/>
      <c r="P55" s="49"/>
      <c r="Q55" s="50">
        <f>K55+L55+M55+N55+O55+P55</f>
        <v>240</v>
      </c>
      <c r="R55" s="55" t="str">
        <f>J55</f>
        <v>LUC</v>
      </c>
      <c r="S55" s="183"/>
      <c r="T55" s="40">
        <v>80000</v>
      </c>
      <c r="U55" s="40">
        <f>(K55+L55+N55+O55)*T55</f>
        <v>19200000</v>
      </c>
      <c r="V55" s="96" t="s">
        <v>64</v>
      </c>
      <c r="W55" s="241" t="s">
        <v>24</v>
      </c>
      <c r="X55" s="242">
        <f>Q55</f>
        <v>240</v>
      </c>
      <c r="Y55" s="265">
        <v>9000</v>
      </c>
      <c r="Z55" s="178">
        <v>1</v>
      </c>
      <c r="AA55" s="40">
        <f>X55*Y55*Z55</f>
        <v>2160000</v>
      </c>
      <c r="AB55" s="40">
        <f>(K55+L55+N55+O55)*T55*5</f>
        <v>96000000</v>
      </c>
      <c r="AC55" s="40">
        <f>(K55+L55+N55+O55)*15000</f>
        <v>3600000</v>
      </c>
      <c r="AD55" s="40">
        <f>(M55+P55)*T55*100%</f>
        <v>0</v>
      </c>
      <c r="AE55" s="56">
        <f>U55+AA55+AB55+AC55+AD55</f>
        <v>120960000</v>
      </c>
      <c r="AF55" s="175">
        <f>AE55</f>
        <v>120960000</v>
      </c>
      <c r="AG55" s="232" t="s">
        <v>62</v>
      </c>
      <c r="AH55" s="233"/>
      <c r="AI55" s="234"/>
      <c r="AJ55" s="235"/>
      <c r="AK55" s="236"/>
      <c r="AL55" s="236"/>
      <c r="AM55" s="236"/>
      <c r="AN55" s="236"/>
      <c r="AO55" s="236"/>
      <c r="AP55" s="236"/>
      <c r="AQ55" s="236"/>
      <c r="AR55" s="236"/>
      <c r="AS55" s="236"/>
      <c r="AT55" s="236"/>
      <c r="AU55" s="236"/>
      <c r="AV55" s="236"/>
      <c r="AW55" s="236"/>
      <c r="AX55" s="236"/>
      <c r="AY55" s="236"/>
      <c r="AZ55" s="236"/>
      <c r="BA55" s="236"/>
      <c r="BB55" s="236"/>
      <c r="BC55" s="236"/>
      <c r="BD55" s="236"/>
      <c r="BE55" s="236"/>
      <c r="BF55" s="236"/>
      <c r="BG55" s="236"/>
      <c r="BH55" s="236"/>
      <c r="BI55" s="236"/>
      <c r="BJ55" s="236"/>
      <c r="BK55" s="236"/>
      <c r="BL55" s="236"/>
      <c r="BM55" s="236"/>
      <c r="BN55" s="236"/>
      <c r="BO55" s="236"/>
      <c r="BP55" s="236"/>
      <c r="BQ55" s="236"/>
      <c r="BR55" s="236"/>
      <c r="BS55" s="236"/>
      <c r="BT55" s="236"/>
      <c r="BU55" s="236"/>
      <c r="BV55" s="236"/>
      <c r="BW55" s="236"/>
      <c r="BX55" s="236"/>
      <c r="BY55" s="236"/>
      <c r="BZ55" s="236"/>
      <c r="CA55" s="236"/>
      <c r="CB55" s="236"/>
      <c r="CC55" s="236"/>
      <c r="CD55" s="236"/>
      <c r="CE55" s="236"/>
      <c r="CF55" s="236"/>
      <c r="CG55" s="236"/>
      <c r="CH55" s="236"/>
      <c r="CI55" s="236"/>
      <c r="CJ55" s="236"/>
      <c r="CK55" s="236"/>
      <c r="CL55" s="236"/>
      <c r="CM55" s="236"/>
      <c r="CN55" s="236"/>
      <c r="CO55" s="236"/>
      <c r="CP55" s="236"/>
      <c r="CQ55" s="236"/>
      <c r="CR55" s="236"/>
      <c r="CS55" s="236"/>
      <c r="CT55" s="236"/>
      <c r="CU55" s="236"/>
      <c r="CV55" s="236"/>
      <c r="CW55" s="236"/>
      <c r="CX55" s="236"/>
      <c r="CY55" s="236"/>
      <c r="CZ55" s="236"/>
      <c r="DA55" s="236"/>
      <c r="DB55" s="236"/>
      <c r="DC55" s="236"/>
      <c r="DD55" s="236"/>
      <c r="DE55" s="236"/>
      <c r="DF55" s="236"/>
      <c r="DG55" s="236"/>
      <c r="DH55" s="236"/>
      <c r="DI55" s="236"/>
      <c r="DJ55" s="236"/>
      <c r="DK55" s="236"/>
      <c r="DL55" s="236"/>
      <c r="DM55" s="236"/>
      <c r="DN55" s="236"/>
      <c r="DO55" s="236"/>
      <c r="DP55" s="236"/>
      <c r="DQ55" s="236"/>
      <c r="DR55" s="236"/>
      <c r="DS55" s="236"/>
      <c r="DT55" s="236"/>
      <c r="DU55" s="236"/>
      <c r="DV55" s="236"/>
      <c r="DW55" s="236"/>
      <c r="DX55" s="236"/>
      <c r="DY55" s="236"/>
      <c r="DZ55" s="236"/>
      <c r="EA55" s="236"/>
      <c r="EB55" s="236"/>
      <c r="EC55" s="236"/>
      <c r="ED55" s="236"/>
      <c r="EE55" s="236"/>
      <c r="EF55" s="236"/>
      <c r="EG55" s="236"/>
      <c r="EH55" s="236"/>
      <c r="EI55" s="236"/>
      <c r="EJ55" s="236"/>
      <c r="EK55" s="236"/>
      <c r="EL55" s="236"/>
      <c r="EM55" s="236"/>
      <c r="EN55" s="236"/>
      <c r="EO55" s="236"/>
      <c r="EP55" s="236"/>
      <c r="EQ55" s="236"/>
      <c r="ER55" s="236"/>
      <c r="ES55" s="236"/>
      <c r="ET55" s="236"/>
      <c r="EU55" s="236"/>
      <c r="EV55" s="236"/>
      <c r="EW55" s="236"/>
      <c r="EX55" s="236"/>
      <c r="EY55" s="236"/>
      <c r="EZ55" s="236"/>
      <c r="FA55" s="236"/>
      <c r="FB55" s="236"/>
      <c r="FC55" s="236"/>
      <c r="FD55" s="236"/>
      <c r="FE55" s="236"/>
      <c r="FF55" s="236"/>
      <c r="FG55" s="236"/>
      <c r="FH55" s="236"/>
      <c r="FI55" s="236"/>
      <c r="FJ55" s="236"/>
      <c r="FK55" s="236"/>
      <c r="FL55" s="236"/>
      <c r="FM55" s="236"/>
      <c r="FN55" s="236"/>
      <c r="FO55" s="236"/>
      <c r="FP55" s="236"/>
      <c r="FQ55" s="236"/>
      <c r="FR55" s="236"/>
      <c r="FS55" s="236"/>
      <c r="FT55" s="236"/>
      <c r="FU55" s="236"/>
      <c r="FV55" s="236"/>
      <c r="FW55" s="236"/>
      <c r="FX55" s="236"/>
      <c r="FY55" s="236"/>
      <c r="FZ55" s="236"/>
      <c r="GA55" s="236"/>
      <c r="GB55" s="236"/>
      <c r="GC55" s="236"/>
      <c r="GD55" s="236"/>
      <c r="GE55" s="236"/>
      <c r="GF55" s="236"/>
      <c r="GG55" s="236"/>
      <c r="GH55" s="236"/>
      <c r="GI55" s="236"/>
      <c r="GJ55" s="236"/>
      <c r="GK55" s="236"/>
      <c r="GL55" s="236"/>
      <c r="GM55" s="236"/>
      <c r="GN55" s="236"/>
      <c r="GO55" s="236"/>
      <c r="GP55" s="236"/>
      <c r="GQ55" s="236"/>
      <c r="GR55" s="236"/>
      <c r="GS55" s="236"/>
      <c r="GT55" s="236"/>
      <c r="GU55" s="236"/>
      <c r="GV55" s="236"/>
      <c r="GW55" s="236"/>
      <c r="GX55" s="236"/>
      <c r="GY55" s="236"/>
      <c r="GZ55" s="236"/>
      <c r="HA55" s="236"/>
      <c r="HB55" s="236"/>
      <c r="HC55" s="236"/>
      <c r="HD55" s="236"/>
      <c r="HE55" s="236"/>
      <c r="HF55" s="236"/>
      <c r="HG55" s="236"/>
      <c r="HH55" s="236"/>
      <c r="HI55" s="236"/>
      <c r="HJ55" s="236"/>
      <c r="HK55" s="236"/>
      <c r="HL55" s="236"/>
      <c r="HM55" s="236"/>
      <c r="HN55" s="236"/>
      <c r="HO55" s="236"/>
      <c r="HP55" s="236"/>
      <c r="HQ55" s="236"/>
      <c r="HR55" s="236"/>
      <c r="HS55" s="236"/>
      <c r="HT55" s="236"/>
      <c r="HU55" s="236"/>
      <c r="HV55" s="236"/>
      <c r="HW55" s="236"/>
      <c r="HX55" s="236"/>
      <c r="HY55" s="236"/>
      <c r="HZ55" s="236"/>
      <c r="IA55" s="236"/>
      <c r="IB55" s="236"/>
      <c r="IC55" s="236"/>
      <c r="ID55" s="236"/>
      <c r="IE55" s="236"/>
      <c r="IF55" s="236"/>
      <c r="IG55" s="236"/>
      <c r="IH55" s="236"/>
      <c r="II55" s="236"/>
      <c r="IJ55" s="236"/>
      <c r="IK55" s="236"/>
      <c r="IL55" s="236"/>
      <c r="IM55" s="236"/>
      <c r="IN55" s="236"/>
      <c r="IO55" s="236"/>
    </row>
    <row r="56" spans="1:249" s="2" customFormat="1" ht="57" customHeight="1" x14ac:dyDescent="0.25">
      <c r="A56" s="94">
        <v>16</v>
      </c>
      <c r="B56" s="95" t="s">
        <v>220</v>
      </c>
      <c r="C56" s="246">
        <v>5</v>
      </c>
      <c r="D56" s="246">
        <v>44</v>
      </c>
      <c r="E56" s="247">
        <v>168</v>
      </c>
      <c r="F56" s="249" t="s">
        <v>33</v>
      </c>
      <c r="G56" s="210">
        <v>29</v>
      </c>
      <c r="H56" s="210">
        <v>74</v>
      </c>
      <c r="I56" s="211">
        <v>213.1</v>
      </c>
      <c r="J56" s="212" t="s">
        <v>43</v>
      </c>
      <c r="K56" s="48">
        <v>168</v>
      </c>
      <c r="L56" s="48">
        <f>192.9-K56</f>
        <v>24.900000000000006</v>
      </c>
      <c r="M56" s="48"/>
      <c r="N56" s="49"/>
      <c r="O56" s="49"/>
      <c r="P56" s="49"/>
      <c r="Q56" s="50">
        <f t="shared" si="0"/>
        <v>192.9</v>
      </c>
      <c r="R56" s="55" t="str">
        <f t="shared" si="1"/>
        <v>BHK</v>
      </c>
      <c r="S56" s="183"/>
      <c r="T56" s="40">
        <v>80000</v>
      </c>
      <c r="U56" s="40">
        <f t="shared" si="17"/>
        <v>15432000</v>
      </c>
      <c r="V56" s="99" t="s">
        <v>320</v>
      </c>
      <c r="W56" s="241" t="s">
        <v>61</v>
      </c>
      <c r="X56" s="242">
        <v>5</v>
      </c>
      <c r="Y56" s="41">
        <v>123000</v>
      </c>
      <c r="Z56" s="42">
        <v>0.8</v>
      </c>
      <c r="AA56" s="40">
        <f t="shared" si="4"/>
        <v>492000</v>
      </c>
      <c r="AB56" s="40">
        <f t="shared" si="6"/>
        <v>77160000</v>
      </c>
      <c r="AC56" s="40">
        <f t="shared" si="5"/>
        <v>2893500</v>
      </c>
      <c r="AD56" s="40">
        <f t="shared" si="7"/>
        <v>0</v>
      </c>
      <c r="AE56" s="56">
        <f t="shared" si="8"/>
        <v>95977500</v>
      </c>
      <c r="AF56" s="504">
        <f>SUM(AE56:AE59)</f>
        <v>879068700</v>
      </c>
      <c r="AG56" s="69" t="s">
        <v>221</v>
      </c>
      <c r="AH56" s="43"/>
      <c r="AI56" s="3"/>
      <c r="AJ56" s="4"/>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row>
    <row r="57" spans="1:249" s="2" customFormat="1" ht="54.75" customHeight="1" x14ac:dyDescent="0.25">
      <c r="A57" s="94">
        <v>16</v>
      </c>
      <c r="B57" s="95" t="s">
        <v>220</v>
      </c>
      <c r="C57" s="246"/>
      <c r="D57" s="246"/>
      <c r="E57" s="247"/>
      <c r="F57" s="249" t="s">
        <v>33</v>
      </c>
      <c r="G57" s="210">
        <v>29</v>
      </c>
      <c r="H57" s="210">
        <v>74</v>
      </c>
      <c r="I57" s="211"/>
      <c r="J57" s="212"/>
      <c r="K57" s="48"/>
      <c r="L57" s="48"/>
      <c r="M57" s="48"/>
      <c r="N57" s="49"/>
      <c r="O57" s="49"/>
      <c r="P57" s="49"/>
      <c r="Q57" s="50"/>
      <c r="R57" s="55"/>
      <c r="S57" s="183"/>
      <c r="T57" s="40"/>
      <c r="U57" s="40">
        <f t="shared" si="17"/>
        <v>0</v>
      </c>
      <c r="V57" s="99" t="s">
        <v>322</v>
      </c>
      <c r="W57" s="241" t="s">
        <v>61</v>
      </c>
      <c r="X57" s="242">
        <v>15</v>
      </c>
      <c r="Y57" s="41">
        <v>40000</v>
      </c>
      <c r="Z57" s="42">
        <v>0.8</v>
      </c>
      <c r="AA57" s="40">
        <f t="shared" si="4"/>
        <v>480000</v>
      </c>
      <c r="AB57" s="40">
        <f t="shared" si="6"/>
        <v>0</v>
      </c>
      <c r="AC57" s="40">
        <f t="shared" si="5"/>
        <v>0</v>
      </c>
      <c r="AD57" s="40">
        <f t="shared" si="7"/>
        <v>0</v>
      </c>
      <c r="AE57" s="56">
        <f t="shared" si="8"/>
        <v>480000</v>
      </c>
      <c r="AF57" s="504"/>
      <c r="AG57" s="69"/>
      <c r="AH57" s="43"/>
      <c r="AI57" s="3"/>
      <c r="AJ57" s="4"/>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row>
    <row r="58" spans="1:249" s="2" customFormat="1" ht="30" customHeight="1" x14ac:dyDescent="0.25">
      <c r="A58" s="94">
        <v>16</v>
      </c>
      <c r="B58" s="95" t="s">
        <v>220</v>
      </c>
      <c r="C58" s="246">
        <v>5</v>
      </c>
      <c r="D58" s="246">
        <v>79</v>
      </c>
      <c r="E58" s="247">
        <v>864</v>
      </c>
      <c r="F58" s="249" t="s">
        <v>33</v>
      </c>
      <c r="G58" s="210">
        <v>28</v>
      </c>
      <c r="H58" s="210">
        <v>611</v>
      </c>
      <c r="I58" s="211">
        <v>860.9</v>
      </c>
      <c r="J58" s="212" t="s">
        <v>7</v>
      </c>
      <c r="K58" s="48">
        <v>860.9</v>
      </c>
      <c r="L58" s="48"/>
      <c r="M58" s="48"/>
      <c r="N58" s="49"/>
      <c r="O58" s="49"/>
      <c r="P58" s="49"/>
      <c r="Q58" s="50">
        <f t="shared" si="0"/>
        <v>860.9</v>
      </c>
      <c r="R58" s="55" t="str">
        <f t="shared" si="1"/>
        <v>LUC</v>
      </c>
      <c r="S58" s="183"/>
      <c r="T58" s="40">
        <v>80000</v>
      </c>
      <c r="U58" s="40">
        <f t="shared" si="17"/>
        <v>68872000</v>
      </c>
      <c r="V58" s="96" t="s">
        <v>64</v>
      </c>
      <c r="W58" s="241" t="s">
        <v>24</v>
      </c>
      <c r="X58" s="242">
        <f t="shared" ref="X58:X61" si="19">Q58</f>
        <v>860.9</v>
      </c>
      <c r="Y58" s="41">
        <v>9000</v>
      </c>
      <c r="Z58" s="42">
        <v>1</v>
      </c>
      <c r="AA58" s="40">
        <f t="shared" si="4"/>
        <v>7748100</v>
      </c>
      <c r="AB58" s="40">
        <f t="shared" si="6"/>
        <v>344360000</v>
      </c>
      <c r="AC58" s="40">
        <f t="shared" si="5"/>
        <v>12913500</v>
      </c>
      <c r="AD58" s="40">
        <f t="shared" si="7"/>
        <v>0</v>
      </c>
      <c r="AE58" s="56">
        <f t="shared" si="8"/>
        <v>433893600</v>
      </c>
      <c r="AF58" s="504"/>
      <c r="AG58" s="69"/>
      <c r="AH58" s="69"/>
      <c r="AI58" s="3"/>
      <c r="AJ58" s="4"/>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row>
    <row r="59" spans="1:249" s="2" customFormat="1" ht="30" customHeight="1" x14ac:dyDescent="0.25">
      <c r="A59" s="94">
        <v>16</v>
      </c>
      <c r="B59" s="95" t="s">
        <v>220</v>
      </c>
      <c r="C59" s="246">
        <v>5</v>
      </c>
      <c r="D59" s="246">
        <v>33</v>
      </c>
      <c r="E59" s="247">
        <v>432</v>
      </c>
      <c r="F59" s="249" t="s">
        <v>33</v>
      </c>
      <c r="G59" s="210">
        <v>29</v>
      </c>
      <c r="H59" s="210">
        <v>32</v>
      </c>
      <c r="I59" s="211">
        <v>691.9</v>
      </c>
      <c r="J59" s="212" t="s">
        <v>7</v>
      </c>
      <c r="K59" s="48">
        <v>432</v>
      </c>
      <c r="L59" s="48">
        <f>I59-K59</f>
        <v>259.89999999999998</v>
      </c>
      <c r="M59" s="48"/>
      <c r="N59" s="49"/>
      <c r="O59" s="49"/>
      <c r="P59" s="49"/>
      <c r="Q59" s="50">
        <f t="shared" si="0"/>
        <v>691.9</v>
      </c>
      <c r="R59" s="55" t="str">
        <f t="shared" si="1"/>
        <v>LUC</v>
      </c>
      <c r="S59" s="183"/>
      <c r="T59" s="40">
        <v>80000</v>
      </c>
      <c r="U59" s="40">
        <f t="shared" si="17"/>
        <v>55352000</v>
      </c>
      <c r="V59" s="96" t="s">
        <v>64</v>
      </c>
      <c r="W59" s="241" t="s">
        <v>24</v>
      </c>
      <c r="X59" s="242">
        <f t="shared" si="19"/>
        <v>691.9</v>
      </c>
      <c r="Y59" s="41">
        <v>9000</v>
      </c>
      <c r="Z59" s="42">
        <v>1</v>
      </c>
      <c r="AA59" s="40">
        <f t="shared" si="4"/>
        <v>6227100</v>
      </c>
      <c r="AB59" s="40">
        <f t="shared" si="6"/>
        <v>276760000</v>
      </c>
      <c r="AC59" s="40">
        <f t="shared" si="5"/>
        <v>10378500</v>
      </c>
      <c r="AD59" s="40">
        <f t="shared" si="7"/>
        <v>0</v>
      </c>
      <c r="AE59" s="56">
        <f t="shared" si="8"/>
        <v>348717600</v>
      </c>
      <c r="AF59" s="504"/>
      <c r="AG59" s="69"/>
      <c r="AH59" s="43"/>
      <c r="AI59" s="3"/>
      <c r="AJ59" s="4"/>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row>
    <row r="60" spans="1:249" s="2" customFormat="1" ht="45" x14ac:dyDescent="0.25">
      <c r="A60" s="94">
        <v>17</v>
      </c>
      <c r="B60" s="95" t="s">
        <v>222</v>
      </c>
      <c r="C60" s="246"/>
      <c r="D60" s="246"/>
      <c r="E60" s="247"/>
      <c r="F60" s="249" t="s">
        <v>33</v>
      </c>
      <c r="G60" s="210">
        <v>29</v>
      </c>
      <c r="H60" s="210">
        <v>79</v>
      </c>
      <c r="I60" s="211">
        <v>225</v>
      </c>
      <c r="J60" s="212" t="s">
        <v>7</v>
      </c>
      <c r="K60" s="48"/>
      <c r="L60" s="48">
        <v>170.7</v>
      </c>
      <c r="M60" s="48"/>
      <c r="N60" s="49"/>
      <c r="O60" s="49"/>
      <c r="P60" s="49"/>
      <c r="Q60" s="50">
        <f t="shared" si="0"/>
        <v>170.7</v>
      </c>
      <c r="R60" s="55" t="str">
        <f t="shared" si="1"/>
        <v>LUC</v>
      </c>
      <c r="S60" s="183"/>
      <c r="T60" s="40">
        <v>80000</v>
      </c>
      <c r="U60" s="40">
        <f t="shared" si="17"/>
        <v>13656000</v>
      </c>
      <c r="V60" s="96" t="s">
        <v>64</v>
      </c>
      <c r="W60" s="241" t="s">
        <v>24</v>
      </c>
      <c r="X60" s="242">
        <f t="shared" si="19"/>
        <v>170.7</v>
      </c>
      <c r="Y60" s="41">
        <v>9000</v>
      </c>
      <c r="Z60" s="42">
        <v>1</v>
      </c>
      <c r="AA60" s="40">
        <f t="shared" si="4"/>
        <v>1536300</v>
      </c>
      <c r="AB60" s="40">
        <f t="shared" si="6"/>
        <v>68280000</v>
      </c>
      <c r="AC60" s="40">
        <f t="shared" si="5"/>
        <v>2560500</v>
      </c>
      <c r="AD60" s="40">
        <f t="shared" si="7"/>
        <v>0</v>
      </c>
      <c r="AE60" s="56">
        <f t="shared" si="8"/>
        <v>86032800</v>
      </c>
      <c r="AF60" s="504">
        <f>SUM(AE60:AE63)</f>
        <v>345081620</v>
      </c>
      <c r="AG60" s="69" t="s">
        <v>223</v>
      </c>
      <c r="AH60" s="43"/>
      <c r="AI60" s="3"/>
      <c r="AJ60" s="4"/>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row>
    <row r="61" spans="1:249" s="2" customFormat="1" ht="30" customHeight="1" x14ac:dyDescent="0.25">
      <c r="A61" s="94">
        <v>17</v>
      </c>
      <c r="B61" s="95" t="s">
        <v>222</v>
      </c>
      <c r="C61" s="246"/>
      <c r="D61" s="246"/>
      <c r="E61" s="216"/>
      <c r="F61" s="249" t="s">
        <v>33</v>
      </c>
      <c r="G61" s="210">
        <v>29</v>
      </c>
      <c r="H61" s="210">
        <v>75</v>
      </c>
      <c r="I61" s="211">
        <v>195.8</v>
      </c>
      <c r="J61" s="212" t="s">
        <v>7</v>
      </c>
      <c r="K61" s="48"/>
      <c r="L61" s="48">
        <v>195.8</v>
      </c>
      <c r="M61" s="48"/>
      <c r="N61" s="49"/>
      <c r="O61" s="49"/>
      <c r="P61" s="49"/>
      <c r="Q61" s="50">
        <f t="shared" si="0"/>
        <v>195.8</v>
      </c>
      <c r="R61" s="55" t="str">
        <f t="shared" si="1"/>
        <v>LUC</v>
      </c>
      <c r="S61" s="183"/>
      <c r="T61" s="40">
        <v>80000</v>
      </c>
      <c r="U61" s="40">
        <f t="shared" si="17"/>
        <v>15664000</v>
      </c>
      <c r="V61" s="96" t="s">
        <v>64</v>
      </c>
      <c r="W61" s="241" t="s">
        <v>24</v>
      </c>
      <c r="X61" s="242">
        <f t="shared" si="19"/>
        <v>195.8</v>
      </c>
      <c r="Y61" s="41">
        <v>9000</v>
      </c>
      <c r="Z61" s="42">
        <v>1</v>
      </c>
      <c r="AA61" s="40">
        <f t="shared" si="4"/>
        <v>1762200</v>
      </c>
      <c r="AB61" s="40">
        <f t="shared" si="6"/>
        <v>78320000</v>
      </c>
      <c r="AC61" s="40">
        <f t="shared" si="5"/>
        <v>2937000</v>
      </c>
      <c r="AD61" s="40">
        <f t="shared" si="7"/>
        <v>0</v>
      </c>
      <c r="AE61" s="56">
        <f t="shared" si="8"/>
        <v>98683200</v>
      </c>
      <c r="AF61" s="504"/>
      <c r="AG61" s="6"/>
      <c r="AH61" s="167"/>
      <c r="AI61" s="3"/>
      <c r="AJ61" s="4"/>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row>
    <row r="62" spans="1:249" s="2" customFormat="1" ht="68.25" customHeight="1" x14ac:dyDescent="0.25">
      <c r="A62" s="94">
        <v>17</v>
      </c>
      <c r="B62" s="95" t="s">
        <v>222</v>
      </c>
      <c r="C62" s="246">
        <v>5</v>
      </c>
      <c r="D62" s="246">
        <v>64</v>
      </c>
      <c r="E62" s="216">
        <v>540</v>
      </c>
      <c r="F62" s="249" t="s">
        <v>33</v>
      </c>
      <c r="G62" s="210">
        <v>29</v>
      </c>
      <c r="H62" s="210">
        <v>80</v>
      </c>
      <c r="I62" s="211">
        <v>773</v>
      </c>
      <c r="J62" s="212" t="s">
        <v>7</v>
      </c>
      <c r="K62" s="48">
        <v>316.3</v>
      </c>
      <c r="L62" s="48"/>
      <c r="M62" s="48"/>
      <c r="N62" s="49"/>
      <c r="O62" s="49"/>
      <c r="P62" s="49"/>
      <c r="Q62" s="50">
        <f t="shared" si="0"/>
        <v>316.3</v>
      </c>
      <c r="R62" s="55" t="str">
        <f t="shared" si="1"/>
        <v>LUC</v>
      </c>
      <c r="S62" s="183"/>
      <c r="T62" s="40">
        <v>80000</v>
      </c>
      <c r="U62" s="40">
        <f t="shared" si="17"/>
        <v>25304000</v>
      </c>
      <c r="V62" s="99" t="s">
        <v>259</v>
      </c>
      <c r="W62" s="243" t="s">
        <v>61</v>
      </c>
      <c r="X62" s="242">
        <v>64</v>
      </c>
      <c r="Y62" s="41">
        <v>34000</v>
      </c>
      <c r="Z62" s="42">
        <v>0.8</v>
      </c>
      <c r="AA62" s="40">
        <f t="shared" si="4"/>
        <v>1740800</v>
      </c>
      <c r="AB62" s="40">
        <f t="shared" si="6"/>
        <v>126520000</v>
      </c>
      <c r="AC62" s="40">
        <f t="shared" si="5"/>
        <v>4744500</v>
      </c>
      <c r="AD62" s="40">
        <f t="shared" si="7"/>
        <v>0</v>
      </c>
      <c r="AE62" s="56">
        <f t="shared" si="8"/>
        <v>158309300</v>
      </c>
      <c r="AF62" s="504"/>
      <c r="AG62" s="69" t="s">
        <v>224</v>
      </c>
      <c r="AH62" s="173">
        <f>Q62*9000</f>
        <v>2846700</v>
      </c>
      <c r="AI62" s="3"/>
      <c r="AJ62" s="4"/>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row>
    <row r="63" spans="1:249" s="2" customFormat="1" ht="90" x14ac:dyDescent="0.25">
      <c r="A63" s="94">
        <v>17</v>
      </c>
      <c r="B63" s="95" t="s">
        <v>222</v>
      </c>
      <c r="C63" s="246"/>
      <c r="D63" s="246"/>
      <c r="E63" s="216"/>
      <c r="F63" s="249" t="s">
        <v>33</v>
      </c>
      <c r="G63" s="210">
        <v>29</v>
      </c>
      <c r="H63" s="210">
        <v>80</v>
      </c>
      <c r="I63" s="211"/>
      <c r="J63" s="212"/>
      <c r="K63" s="48"/>
      <c r="L63" s="48"/>
      <c r="M63" s="48"/>
      <c r="N63" s="49"/>
      <c r="O63" s="49"/>
      <c r="P63" s="49"/>
      <c r="Q63" s="50"/>
      <c r="R63" s="55"/>
      <c r="S63" s="183"/>
      <c r="T63" s="40"/>
      <c r="U63" s="40">
        <f t="shared" si="17"/>
        <v>0</v>
      </c>
      <c r="V63" s="99" t="s">
        <v>259</v>
      </c>
      <c r="W63" s="243" t="s">
        <v>61</v>
      </c>
      <c r="X63" s="242">
        <f>316-64</f>
        <v>252</v>
      </c>
      <c r="Y63" s="174">
        <f>34000*30%</f>
        <v>10200</v>
      </c>
      <c r="Z63" s="42">
        <v>0.8</v>
      </c>
      <c r="AA63" s="40">
        <f t="shared" si="4"/>
        <v>2056320</v>
      </c>
      <c r="AB63" s="40">
        <f t="shared" si="6"/>
        <v>0</v>
      </c>
      <c r="AC63" s="40">
        <f t="shared" si="5"/>
        <v>0</v>
      </c>
      <c r="AD63" s="40">
        <f t="shared" si="7"/>
        <v>0</v>
      </c>
      <c r="AE63" s="56">
        <f t="shared" si="8"/>
        <v>2056320</v>
      </c>
      <c r="AF63" s="504"/>
      <c r="AG63" s="264" t="s">
        <v>262</v>
      </c>
      <c r="AH63" s="43" t="s">
        <v>269</v>
      </c>
      <c r="AI63" s="3"/>
      <c r="AJ63" s="4"/>
      <c r="AK63" s="1">
        <f>1.2*316</f>
        <v>379.2</v>
      </c>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row>
    <row r="64" spans="1:249" s="2" customFormat="1" ht="30" customHeight="1" x14ac:dyDescent="0.25">
      <c r="A64" s="94">
        <v>18</v>
      </c>
      <c r="B64" s="95" t="s">
        <v>225</v>
      </c>
      <c r="C64" s="246">
        <v>5</v>
      </c>
      <c r="D64" s="246">
        <v>39</v>
      </c>
      <c r="E64" s="216">
        <v>1464</v>
      </c>
      <c r="F64" s="249" t="s">
        <v>33</v>
      </c>
      <c r="G64" s="210">
        <v>29</v>
      </c>
      <c r="H64" s="210">
        <v>28</v>
      </c>
      <c r="I64" s="211">
        <v>981.9</v>
      </c>
      <c r="J64" s="212" t="s">
        <v>7</v>
      </c>
      <c r="K64" s="48">
        <v>744</v>
      </c>
      <c r="L64" s="48">
        <f>I64-K64</f>
        <v>237.89999999999998</v>
      </c>
      <c r="M64" s="48"/>
      <c r="N64" s="49"/>
      <c r="O64" s="49"/>
      <c r="P64" s="49"/>
      <c r="Q64" s="50">
        <f t="shared" si="0"/>
        <v>981.9</v>
      </c>
      <c r="R64" s="55" t="str">
        <f t="shared" si="1"/>
        <v>LUC</v>
      </c>
      <c r="S64" s="183"/>
      <c r="T64" s="40">
        <v>80000</v>
      </c>
      <c r="U64" s="40">
        <f t="shared" si="17"/>
        <v>78552000</v>
      </c>
      <c r="V64" s="96" t="s">
        <v>64</v>
      </c>
      <c r="W64" s="241" t="s">
        <v>24</v>
      </c>
      <c r="X64" s="242">
        <f t="shared" ref="X64:X66" si="20">Q64</f>
        <v>981.9</v>
      </c>
      <c r="Y64" s="41">
        <v>9000</v>
      </c>
      <c r="Z64" s="42">
        <v>1</v>
      </c>
      <c r="AA64" s="40">
        <f t="shared" si="4"/>
        <v>8837100</v>
      </c>
      <c r="AB64" s="40">
        <f t="shared" si="6"/>
        <v>392760000</v>
      </c>
      <c r="AC64" s="40">
        <f t="shared" si="5"/>
        <v>14728500</v>
      </c>
      <c r="AD64" s="40">
        <f t="shared" si="7"/>
        <v>0</v>
      </c>
      <c r="AE64" s="56">
        <f t="shared" si="8"/>
        <v>494877600</v>
      </c>
      <c r="AF64" s="504">
        <f>SUM(AE64:AE68)</f>
        <v>1355591080</v>
      </c>
      <c r="AG64" s="6"/>
      <c r="AH64" s="100"/>
      <c r="AI64" s="3"/>
      <c r="AJ64" s="4"/>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row>
    <row r="65" spans="1:249" s="2" customFormat="1" ht="30" customHeight="1" x14ac:dyDescent="0.25">
      <c r="A65" s="94">
        <v>18</v>
      </c>
      <c r="B65" s="95" t="s">
        <v>225</v>
      </c>
      <c r="C65" s="246"/>
      <c r="D65" s="246"/>
      <c r="E65" s="216"/>
      <c r="F65" s="249" t="s">
        <v>33</v>
      </c>
      <c r="G65" s="210">
        <v>29</v>
      </c>
      <c r="H65" s="210">
        <v>25</v>
      </c>
      <c r="I65" s="211">
        <v>388.7</v>
      </c>
      <c r="J65" s="212" t="s">
        <v>7</v>
      </c>
      <c r="K65" s="48">
        <v>360</v>
      </c>
      <c r="L65" s="48">
        <f t="shared" ref="L65:L66" si="21">I65-K65</f>
        <v>28.699999999999989</v>
      </c>
      <c r="M65" s="48"/>
      <c r="N65" s="49"/>
      <c r="O65" s="49"/>
      <c r="P65" s="49"/>
      <c r="Q65" s="50">
        <f t="shared" si="0"/>
        <v>388.7</v>
      </c>
      <c r="R65" s="55" t="str">
        <f t="shared" si="1"/>
        <v>LUC</v>
      </c>
      <c r="S65" s="183"/>
      <c r="T65" s="40">
        <v>80000</v>
      </c>
      <c r="U65" s="40">
        <f t="shared" si="17"/>
        <v>31096000</v>
      </c>
      <c r="V65" s="96" t="s">
        <v>64</v>
      </c>
      <c r="W65" s="241" t="s">
        <v>24</v>
      </c>
      <c r="X65" s="242">
        <f t="shared" si="20"/>
        <v>388.7</v>
      </c>
      <c r="Y65" s="41">
        <v>9000</v>
      </c>
      <c r="Z65" s="42">
        <v>1</v>
      </c>
      <c r="AA65" s="40">
        <f t="shared" si="4"/>
        <v>3498300</v>
      </c>
      <c r="AB65" s="40">
        <f t="shared" si="6"/>
        <v>155480000</v>
      </c>
      <c r="AC65" s="40">
        <f t="shared" si="5"/>
        <v>5830500</v>
      </c>
      <c r="AD65" s="40">
        <f t="shared" si="7"/>
        <v>0</v>
      </c>
      <c r="AE65" s="56">
        <f t="shared" si="8"/>
        <v>195904800</v>
      </c>
      <c r="AF65" s="504"/>
      <c r="AG65" s="69" t="s">
        <v>194</v>
      </c>
      <c r="AH65" s="43"/>
      <c r="AI65" s="3"/>
      <c r="AJ65" s="4"/>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row>
    <row r="66" spans="1:249" s="2" customFormat="1" ht="30" customHeight="1" x14ac:dyDescent="0.25">
      <c r="A66" s="94">
        <v>18</v>
      </c>
      <c r="B66" s="95" t="s">
        <v>225</v>
      </c>
      <c r="C66" s="246"/>
      <c r="D66" s="246"/>
      <c r="E66" s="247"/>
      <c r="F66" s="249" t="s">
        <v>33</v>
      </c>
      <c r="G66" s="210">
        <v>29</v>
      </c>
      <c r="H66" s="210">
        <v>24</v>
      </c>
      <c r="I66" s="211">
        <v>421.2</v>
      </c>
      <c r="J66" s="212" t="s">
        <v>7</v>
      </c>
      <c r="K66" s="48">
        <v>360</v>
      </c>
      <c r="L66" s="48">
        <f t="shared" si="21"/>
        <v>61.199999999999989</v>
      </c>
      <c r="M66" s="48"/>
      <c r="N66" s="49"/>
      <c r="O66" s="49"/>
      <c r="P66" s="49"/>
      <c r="Q66" s="50">
        <f t="shared" si="0"/>
        <v>421.2</v>
      </c>
      <c r="R66" s="55" t="str">
        <f t="shared" si="1"/>
        <v>LUC</v>
      </c>
      <c r="S66" s="183"/>
      <c r="T66" s="40">
        <v>80000</v>
      </c>
      <c r="U66" s="40">
        <f t="shared" si="17"/>
        <v>33696000</v>
      </c>
      <c r="V66" s="96" t="s">
        <v>64</v>
      </c>
      <c r="W66" s="241" t="s">
        <v>24</v>
      </c>
      <c r="X66" s="242">
        <f t="shared" si="20"/>
        <v>421.2</v>
      </c>
      <c r="Y66" s="41">
        <v>9000</v>
      </c>
      <c r="Z66" s="42">
        <v>1</v>
      </c>
      <c r="AA66" s="40">
        <f t="shared" si="4"/>
        <v>3790800</v>
      </c>
      <c r="AB66" s="40">
        <f t="shared" si="6"/>
        <v>168480000</v>
      </c>
      <c r="AC66" s="40">
        <f t="shared" si="5"/>
        <v>6318000</v>
      </c>
      <c r="AD66" s="40">
        <f t="shared" si="7"/>
        <v>0</v>
      </c>
      <c r="AE66" s="56">
        <f t="shared" si="8"/>
        <v>212284800</v>
      </c>
      <c r="AF66" s="504"/>
      <c r="AG66" s="110" t="s">
        <v>227</v>
      </c>
      <c r="AH66" s="168"/>
      <c r="AI66" s="3"/>
      <c r="AJ66" s="4"/>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row>
    <row r="67" spans="1:249" s="2" customFormat="1" ht="66" customHeight="1" x14ac:dyDescent="0.25">
      <c r="A67" s="94">
        <v>18</v>
      </c>
      <c r="B67" s="95" t="s">
        <v>225</v>
      </c>
      <c r="C67" s="246">
        <v>4</v>
      </c>
      <c r="D67" s="246">
        <v>46</v>
      </c>
      <c r="E67" s="247">
        <v>1200</v>
      </c>
      <c r="F67" s="249" t="s">
        <v>33</v>
      </c>
      <c r="G67" s="210">
        <v>29</v>
      </c>
      <c r="H67" s="210">
        <v>857</v>
      </c>
      <c r="I67" s="211">
        <v>1361</v>
      </c>
      <c r="J67" s="212" t="s">
        <v>7</v>
      </c>
      <c r="K67" s="48">
        <v>892.6</v>
      </c>
      <c r="L67" s="48"/>
      <c r="M67" s="48"/>
      <c r="N67" s="49"/>
      <c r="O67" s="49"/>
      <c r="P67" s="49"/>
      <c r="Q67" s="50">
        <f t="shared" si="0"/>
        <v>892.6</v>
      </c>
      <c r="R67" s="55" t="str">
        <f t="shared" si="1"/>
        <v>LUC</v>
      </c>
      <c r="S67" s="183"/>
      <c r="T67" s="40">
        <v>80000</v>
      </c>
      <c r="U67" s="40">
        <f t="shared" si="17"/>
        <v>71408000</v>
      </c>
      <c r="V67" s="99" t="s">
        <v>259</v>
      </c>
      <c r="W67" s="243" t="s">
        <v>61</v>
      </c>
      <c r="X67" s="242">
        <v>179</v>
      </c>
      <c r="Y67" s="41">
        <v>34000</v>
      </c>
      <c r="Z67" s="42">
        <v>0.8</v>
      </c>
      <c r="AA67" s="40">
        <f t="shared" si="4"/>
        <v>4868800</v>
      </c>
      <c r="AB67" s="40">
        <f t="shared" si="6"/>
        <v>357040000</v>
      </c>
      <c r="AC67" s="40">
        <f t="shared" si="5"/>
        <v>13389000</v>
      </c>
      <c r="AD67" s="40">
        <f t="shared" si="7"/>
        <v>0</v>
      </c>
      <c r="AE67" s="56">
        <f t="shared" si="8"/>
        <v>446705800</v>
      </c>
      <c r="AF67" s="504"/>
      <c r="AG67" s="69" t="s">
        <v>226</v>
      </c>
      <c r="AH67" s="43">
        <f>Q67*9000</f>
        <v>8033400</v>
      </c>
      <c r="AI67" s="3"/>
      <c r="AJ67" s="4"/>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row>
    <row r="68" spans="1:249" s="2" customFormat="1" ht="90" x14ac:dyDescent="0.25">
      <c r="A68" s="94">
        <v>18</v>
      </c>
      <c r="B68" s="95" t="s">
        <v>225</v>
      </c>
      <c r="C68" s="246"/>
      <c r="D68" s="246"/>
      <c r="E68" s="247"/>
      <c r="F68" s="249" t="s">
        <v>33</v>
      </c>
      <c r="G68" s="210">
        <v>29</v>
      </c>
      <c r="H68" s="210">
        <v>857</v>
      </c>
      <c r="I68" s="211"/>
      <c r="J68" s="212"/>
      <c r="K68" s="48"/>
      <c r="L68" s="48"/>
      <c r="M68" s="48"/>
      <c r="N68" s="49"/>
      <c r="O68" s="49"/>
      <c r="P68" s="49"/>
      <c r="Q68" s="50"/>
      <c r="R68" s="55"/>
      <c r="S68" s="183"/>
      <c r="T68" s="40"/>
      <c r="U68" s="40"/>
      <c r="V68" s="99" t="s">
        <v>259</v>
      </c>
      <c r="W68" s="243" t="s">
        <v>61</v>
      </c>
      <c r="X68" s="242">
        <f>892-179</f>
        <v>713</v>
      </c>
      <c r="Y68" s="174">
        <f>34000*30%</f>
        <v>10200</v>
      </c>
      <c r="Z68" s="42">
        <v>0.8</v>
      </c>
      <c r="AA68" s="40">
        <f t="shared" si="4"/>
        <v>5818080</v>
      </c>
      <c r="AB68" s="40">
        <f t="shared" si="6"/>
        <v>0</v>
      </c>
      <c r="AC68" s="40">
        <f t="shared" si="5"/>
        <v>0</v>
      </c>
      <c r="AD68" s="40">
        <f t="shared" si="7"/>
        <v>0</v>
      </c>
      <c r="AE68" s="56">
        <f t="shared" si="8"/>
        <v>5818080</v>
      </c>
      <c r="AF68" s="504"/>
      <c r="AG68" s="264" t="s">
        <v>262</v>
      </c>
      <c r="AH68" s="43" t="s">
        <v>268</v>
      </c>
      <c r="AI68" s="3"/>
      <c r="AJ68" s="4"/>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row>
    <row r="69" spans="1:249" s="2" customFormat="1" ht="45" x14ac:dyDescent="0.25">
      <c r="A69" s="94">
        <v>19</v>
      </c>
      <c r="B69" s="95" t="s">
        <v>228</v>
      </c>
      <c r="C69" s="246">
        <v>5</v>
      </c>
      <c r="D69" s="246">
        <v>44</v>
      </c>
      <c r="E69" s="247">
        <v>120</v>
      </c>
      <c r="F69" s="215" t="s">
        <v>229</v>
      </c>
      <c r="G69" s="210">
        <v>29</v>
      </c>
      <c r="H69" s="210">
        <v>73</v>
      </c>
      <c r="I69" s="211">
        <v>213.5</v>
      </c>
      <c r="J69" s="213" t="s">
        <v>43</v>
      </c>
      <c r="K69" s="48">
        <v>11.7</v>
      </c>
      <c r="L69" s="48"/>
      <c r="M69" s="48"/>
      <c r="N69" s="49"/>
      <c r="O69" s="49"/>
      <c r="P69" s="49"/>
      <c r="Q69" s="50">
        <f t="shared" si="0"/>
        <v>11.7</v>
      </c>
      <c r="R69" s="55" t="str">
        <f t="shared" si="1"/>
        <v>BHK</v>
      </c>
      <c r="S69" s="183"/>
      <c r="T69" s="40">
        <v>80000</v>
      </c>
      <c r="U69" s="40">
        <f>(K69+L69+N69+O69)*T69</f>
        <v>936000</v>
      </c>
      <c r="V69" s="96" t="s">
        <v>64</v>
      </c>
      <c r="W69" s="241" t="s">
        <v>24</v>
      </c>
      <c r="X69" s="242">
        <f t="shared" ref="X69" si="22">Q69</f>
        <v>11.7</v>
      </c>
      <c r="Y69" s="41">
        <v>9000</v>
      </c>
      <c r="Z69" s="42">
        <v>1</v>
      </c>
      <c r="AA69" s="40">
        <f t="shared" si="4"/>
        <v>105300</v>
      </c>
      <c r="AB69" s="40">
        <f t="shared" si="6"/>
        <v>4680000</v>
      </c>
      <c r="AC69" s="40">
        <f t="shared" si="5"/>
        <v>175500</v>
      </c>
      <c r="AD69" s="40">
        <f t="shared" si="7"/>
        <v>0</v>
      </c>
      <c r="AE69" s="56">
        <f t="shared" si="8"/>
        <v>5896800</v>
      </c>
      <c r="AF69" s="504">
        <f>SUM(AE69:AE74)</f>
        <v>614209850</v>
      </c>
      <c r="AG69" s="69" t="s">
        <v>272</v>
      </c>
      <c r="AH69" s="43">
        <f>70*7*3</f>
        <v>1470</v>
      </c>
      <c r="AI69" s="3"/>
      <c r="AJ69" s="4"/>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row>
    <row r="70" spans="1:249" s="2" customFormat="1" ht="45" x14ac:dyDescent="0.25">
      <c r="A70" s="94">
        <v>19</v>
      </c>
      <c r="B70" s="95" t="s">
        <v>228</v>
      </c>
      <c r="C70" s="246">
        <v>5</v>
      </c>
      <c r="D70" s="246">
        <v>45</v>
      </c>
      <c r="E70" s="247">
        <v>108</v>
      </c>
      <c r="F70" s="214" t="s">
        <v>33</v>
      </c>
      <c r="G70" s="210">
        <v>29</v>
      </c>
      <c r="H70" s="210">
        <v>81</v>
      </c>
      <c r="I70" s="211">
        <v>223.5</v>
      </c>
      <c r="J70" s="213" t="s">
        <v>43</v>
      </c>
      <c r="K70" s="48">
        <v>5.4</v>
      </c>
      <c r="L70" s="48"/>
      <c r="M70" s="48"/>
      <c r="N70" s="49"/>
      <c r="O70" s="49"/>
      <c r="P70" s="49"/>
      <c r="Q70" s="50">
        <f t="shared" si="0"/>
        <v>5.4</v>
      </c>
      <c r="R70" s="55" t="str">
        <f t="shared" si="1"/>
        <v>BHK</v>
      </c>
      <c r="S70" s="183"/>
      <c r="T70" s="40">
        <v>80000</v>
      </c>
      <c r="U70" s="40">
        <f>(K70+L70+N70+O70)*T70</f>
        <v>432000</v>
      </c>
      <c r="V70" s="99" t="s">
        <v>231</v>
      </c>
      <c r="W70" s="241" t="s">
        <v>61</v>
      </c>
      <c r="X70" s="242">
        <v>2</v>
      </c>
      <c r="Y70" s="41">
        <v>118000</v>
      </c>
      <c r="Z70" s="42">
        <v>0.8</v>
      </c>
      <c r="AA70" s="40">
        <f t="shared" si="4"/>
        <v>188800</v>
      </c>
      <c r="AB70" s="40">
        <f t="shared" si="6"/>
        <v>2160000</v>
      </c>
      <c r="AC70" s="40">
        <f t="shared" si="5"/>
        <v>81000</v>
      </c>
      <c r="AD70" s="40">
        <f t="shared" si="7"/>
        <v>0</v>
      </c>
      <c r="AE70" s="56">
        <f t="shared" si="8"/>
        <v>2861800</v>
      </c>
      <c r="AF70" s="504"/>
      <c r="AG70" s="69" t="s">
        <v>271</v>
      </c>
      <c r="AH70" s="43"/>
      <c r="AI70" s="3"/>
      <c r="AJ70" s="4"/>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row>
    <row r="71" spans="1:249" s="2" customFormat="1" ht="30" customHeight="1" x14ac:dyDescent="0.25">
      <c r="A71" s="94">
        <v>19</v>
      </c>
      <c r="B71" s="95" t="s">
        <v>228</v>
      </c>
      <c r="C71" s="246">
        <v>5</v>
      </c>
      <c r="D71" s="246">
        <v>66</v>
      </c>
      <c r="E71" s="247">
        <v>360</v>
      </c>
      <c r="F71" s="214" t="s">
        <v>33</v>
      </c>
      <c r="G71" s="210">
        <v>29</v>
      </c>
      <c r="H71" s="210">
        <v>35</v>
      </c>
      <c r="I71" s="211">
        <v>358.6</v>
      </c>
      <c r="J71" s="213" t="s">
        <v>7</v>
      </c>
      <c r="K71" s="48">
        <v>358.6</v>
      </c>
      <c r="L71" s="48"/>
      <c r="M71" s="48"/>
      <c r="N71" s="49"/>
      <c r="O71" s="49"/>
      <c r="P71" s="49"/>
      <c r="Q71" s="50">
        <f t="shared" si="0"/>
        <v>358.6</v>
      </c>
      <c r="R71" s="55" t="str">
        <f t="shared" si="1"/>
        <v>LUC</v>
      </c>
      <c r="S71" s="183"/>
      <c r="T71" s="40">
        <v>80000</v>
      </c>
      <c r="U71" s="40">
        <f t="shared" ref="U71:U96" si="23">(K71+L71+N71+O71)*T71</f>
        <v>28688000</v>
      </c>
      <c r="V71" s="96" t="s">
        <v>64</v>
      </c>
      <c r="W71" s="241" t="s">
        <v>24</v>
      </c>
      <c r="X71" s="242">
        <f t="shared" ref="X71:X72" si="24">Q71</f>
        <v>358.6</v>
      </c>
      <c r="Y71" s="41">
        <v>9000</v>
      </c>
      <c r="Z71" s="42">
        <v>1</v>
      </c>
      <c r="AA71" s="40">
        <f t="shared" si="4"/>
        <v>3227400</v>
      </c>
      <c r="AB71" s="40">
        <f t="shared" si="6"/>
        <v>143440000</v>
      </c>
      <c r="AC71" s="40">
        <f t="shared" si="5"/>
        <v>5379000</v>
      </c>
      <c r="AD71" s="40">
        <f t="shared" si="7"/>
        <v>0</v>
      </c>
      <c r="AE71" s="56">
        <f t="shared" si="8"/>
        <v>180734400</v>
      </c>
      <c r="AF71" s="504"/>
      <c r="AG71" s="6"/>
      <c r="AH71" s="6">
        <f>358.6-360</f>
        <v>-1.3999999999999773</v>
      </c>
      <c r="AI71" s="3"/>
      <c r="AJ71" s="4"/>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row>
    <row r="72" spans="1:249" s="2" customFormat="1" ht="70.5" customHeight="1" x14ac:dyDescent="0.25">
      <c r="A72" s="94">
        <v>19</v>
      </c>
      <c r="B72" s="95" t="s">
        <v>228</v>
      </c>
      <c r="C72" s="246">
        <v>5</v>
      </c>
      <c r="D72" s="246">
        <v>113</v>
      </c>
      <c r="E72" s="247">
        <v>648</v>
      </c>
      <c r="F72" s="215" t="s">
        <v>201</v>
      </c>
      <c r="G72" s="210">
        <v>28</v>
      </c>
      <c r="H72" s="210">
        <v>686</v>
      </c>
      <c r="I72" s="211">
        <v>728.9</v>
      </c>
      <c r="J72" s="213" t="s">
        <v>7</v>
      </c>
      <c r="K72" s="48">
        <f>648-298.4</f>
        <v>349.6</v>
      </c>
      <c r="L72" s="48">
        <f>I72-K72-298.4</f>
        <v>80.899999999999977</v>
      </c>
      <c r="M72" s="48"/>
      <c r="N72" s="49"/>
      <c r="O72" s="49"/>
      <c r="P72" s="49"/>
      <c r="Q72" s="50">
        <f t="shared" si="0"/>
        <v>430.5</v>
      </c>
      <c r="R72" s="55" t="str">
        <f t="shared" si="1"/>
        <v>LUC</v>
      </c>
      <c r="S72" s="183">
        <v>298.39999999999998</v>
      </c>
      <c r="T72" s="40">
        <v>80000</v>
      </c>
      <c r="U72" s="40">
        <f t="shared" si="23"/>
        <v>34440000</v>
      </c>
      <c r="V72" s="96" t="s">
        <v>64</v>
      </c>
      <c r="W72" s="241" t="s">
        <v>24</v>
      </c>
      <c r="X72" s="242">
        <f t="shared" si="24"/>
        <v>430.5</v>
      </c>
      <c r="Y72" s="41">
        <v>9000</v>
      </c>
      <c r="Z72" s="42">
        <v>1</v>
      </c>
      <c r="AA72" s="40">
        <f t="shared" si="4"/>
        <v>3874500</v>
      </c>
      <c r="AB72" s="40">
        <f t="shared" si="6"/>
        <v>172200000</v>
      </c>
      <c r="AC72" s="40">
        <f t="shared" si="5"/>
        <v>6457500</v>
      </c>
      <c r="AD72" s="40">
        <f t="shared" si="7"/>
        <v>0</v>
      </c>
      <c r="AE72" s="56">
        <f t="shared" si="8"/>
        <v>216972000</v>
      </c>
      <c r="AF72" s="504"/>
      <c r="AG72" s="44" t="s">
        <v>148</v>
      </c>
      <c r="AH72" s="43"/>
      <c r="AI72" s="3"/>
      <c r="AJ72" s="4"/>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row>
    <row r="73" spans="1:249" s="2" customFormat="1" ht="24" x14ac:dyDescent="0.25">
      <c r="A73" s="94">
        <v>19</v>
      </c>
      <c r="B73" s="95" t="s">
        <v>228</v>
      </c>
      <c r="C73" s="246">
        <v>5</v>
      </c>
      <c r="D73" s="246">
        <v>33</v>
      </c>
      <c r="E73" s="247">
        <v>360</v>
      </c>
      <c r="F73" s="214" t="s">
        <v>33</v>
      </c>
      <c r="G73" s="210">
        <v>29</v>
      </c>
      <c r="H73" s="210">
        <v>29</v>
      </c>
      <c r="I73" s="211">
        <v>671.3</v>
      </c>
      <c r="J73" s="213" t="s">
        <v>7</v>
      </c>
      <c r="K73" s="48">
        <v>360</v>
      </c>
      <c r="L73" s="48"/>
      <c r="M73" s="48"/>
      <c r="N73" s="49"/>
      <c r="O73" s="49"/>
      <c r="P73" s="49"/>
      <c r="Q73" s="50">
        <f t="shared" ref="Q73" si="25">K73+L73+M73+N73+O73+P73</f>
        <v>360</v>
      </c>
      <c r="R73" s="55" t="str">
        <f t="shared" ref="R73" si="26">J73</f>
        <v>LUC</v>
      </c>
      <c r="S73" s="183"/>
      <c r="T73" s="40">
        <v>80000</v>
      </c>
      <c r="U73" s="40">
        <f t="shared" ref="U73" si="27">(K73+L73+N73+O73)*T73</f>
        <v>28800000</v>
      </c>
      <c r="V73" s="158" t="s">
        <v>64</v>
      </c>
      <c r="W73" s="241" t="s">
        <v>24</v>
      </c>
      <c r="X73" s="242">
        <f>Q73</f>
        <v>360</v>
      </c>
      <c r="Y73" s="41">
        <v>9000</v>
      </c>
      <c r="Z73" s="42">
        <v>1</v>
      </c>
      <c r="AA73" s="40">
        <f t="shared" ref="AA73" si="28">X73*Y73*Z73</f>
        <v>3240000</v>
      </c>
      <c r="AB73" s="40">
        <f t="shared" ref="AB73" si="29">(K73+L73+N73+O73)*T73*5</f>
        <v>144000000</v>
      </c>
      <c r="AC73" s="40">
        <f t="shared" ref="AC73" si="30">(K73+L73+N73+O73)*15000</f>
        <v>5400000</v>
      </c>
      <c r="AD73" s="40">
        <f t="shared" si="7"/>
        <v>0</v>
      </c>
      <c r="AE73" s="56">
        <f t="shared" ref="AE73" si="31">U73+AA73+AB73+AC73+AD73</f>
        <v>181440000</v>
      </c>
      <c r="AF73" s="504"/>
      <c r="AG73" s="164" t="s">
        <v>47</v>
      </c>
      <c r="AH73" s="43"/>
      <c r="AI73" s="3"/>
      <c r="AJ73" s="4"/>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row>
    <row r="74" spans="1:249" s="2" customFormat="1" ht="78.75" x14ac:dyDescent="0.25">
      <c r="A74" s="94">
        <v>19</v>
      </c>
      <c r="B74" s="95" t="s">
        <v>228</v>
      </c>
      <c r="C74" s="246"/>
      <c r="D74" s="246"/>
      <c r="E74" s="247"/>
      <c r="F74" s="214" t="s">
        <v>33</v>
      </c>
      <c r="G74" s="210">
        <v>29</v>
      </c>
      <c r="H74" s="210">
        <v>29</v>
      </c>
      <c r="I74" s="211">
        <v>671.3</v>
      </c>
      <c r="J74" s="213" t="s">
        <v>7</v>
      </c>
      <c r="K74" s="48"/>
      <c r="L74" s="48"/>
      <c r="M74" s="260">
        <v>311.3</v>
      </c>
      <c r="N74" s="49"/>
      <c r="O74" s="49"/>
      <c r="P74" s="49"/>
      <c r="Q74" s="50">
        <f t="shared" si="0"/>
        <v>311.3</v>
      </c>
      <c r="R74" s="55" t="str">
        <f t="shared" si="1"/>
        <v>LUC</v>
      </c>
      <c r="S74" s="183"/>
      <c r="T74" s="40">
        <v>80000</v>
      </c>
      <c r="U74" s="40">
        <f t="shared" si="23"/>
        <v>0</v>
      </c>
      <c r="V74" s="158" t="s">
        <v>64</v>
      </c>
      <c r="W74" s="241" t="s">
        <v>24</v>
      </c>
      <c r="X74" s="242">
        <f>Q74</f>
        <v>311.3</v>
      </c>
      <c r="Y74" s="41">
        <v>9000</v>
      </c>
      <c r="Z74" s="42">
        <v>0.5</v>
      </c>
      <c r="AA74" s="40">
        <f t="shared" si="4"/>
        <v>1400850</v>
      </c>
      <c r="AB74" s="40">
        <f t="shared" si="6"/>
        <v>0</v>
      </c>
      <c r="AC74" s="40">
        <f t="shared" si="5"/>
        <v>0</v>
      </c>
      <c r="AD74" s="40">
        <f t="shared" ref="AD74:AD114" si="32">(M74+P74)*T74*100%</f>
        <v>24904000</v>
      </c>
      <c r="AE74" s="56">
        <f t="shared" si="8"/>
        <v>26304850</v>
      </c>
      <c r="AF74" s="504"/>
      <c r="AG74" s="164" t="s">
        <v>302</v>
      </c>
      <c r="AH74" s="43"/>
      <c r="AI74" s="3"/>
      <c r="AJ74" s="4"/>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row>
    <row r="75" spans="1:249" s="2" customFormat="1" ht="36" customHeight="1" x14ac:dyDescent="0.25">
      <c r="A75" s="94">
        <v>20</v>
      </c>
      <c r="B75" s="95" t="s">
        <v>232</v>
      </c>
      <c r="C75" s="246">
        <v>5</v>
      </c>
      <c r="D75" s="246">
        <v>31</v>
      </c>
      <c r="E75" s="247">
        <v>120</v>
      </c>
      <c r="F75" s="249" t="s">
        <v>44</v>
      </c>
      <c r="G75" s="210">
        <v>28</v>
      </c>
      <c r="H75" s="210">
        <v>536</v>
      </c>
      <c r="I75" s="211">
        <v>124.4</v>
      </c>
      <c r="J75" s="212" t="s">
        <v>48</v>
      </c>
      <c r="K75" s="48">
        <v>120</v>
      </c>
      <c r="L75" s="48">
        <v>4.4000000000000004</v>
      </c>
      <c r="M75" s="48"/>
      <c r="N75" s="49"/>
      <c r="O75" s="49"/>
      <c r="P75" s="49"/>
      <c r="Q75" s="50">
        <f t="shared" si="0"/>
        <v>124.4</v>
      </c>
      <c r="R75" s="55" t="str">
        <f t="shared" si="1"/>
        <v>LUK</v>
      </c>
      <c r="S75" s="183"/>
      <c r="T75" s="40">
        <v>80000</v>
      </c>
      <c r="U75" s="40">
        <f t="shared" si="23"/>
        <v>9952000</v>
      </c>
      <c r="V75" s="158" t="s">
        <v>64</v>
      </c>
      <c r="W75" s="241" t="s">
        <v>24</v>
      </c>
      <c r="X75" s="242">
        <f>Q75</f>
        <v>124.4</v>
      </c>
      <c r="Y75" s="41">
        <v>9000</v>
      </c>
      <c r="Z75" s="42">
        <v>1</v>
      </c>
      <c r="AA75" s="40">
        <f t="shared" si="4"/>
        <v>1119600</v>
      </c>
      <c r="AB75" s="40">
        <f t="shared" si="6"/>
        <v>49760000</v>
      </c>
      <c r="AC75" s="40">
        <f t="shared" si="5"/>
        <v>1866000</v>
      </c>
      <c r="AD75" s="40">
        <f t="shared" si="32"/>
        <v>0</v>
      </c>
      <c r="AE75" s="56">
        <f t="shared" si="8"/>
        <v>62697600</v>
      </c>
      <c r="AF75" s="56">
        <f>AE75</f>
        <v>62697600</v>
      </c>
      <c r="AG75" s="6"/>
      <c r="AH75" s="43"/>
      <c r="AI75" s="3"/>
      <c r="AJ75" s="4"/>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row>
    <row r="76" spans="1:249" s="2" customFormat="1" ht="30" customHeight="1" x14ac:dyDescent="0.2">
      <c r="A76" s="94">
        <v>21</v>
      </c>
      <c r="B76" s="95" t="s">
        <v>247</v>
      </c>
      <c r="C76" s="246">
        <v>5</v>
      </c>
      <c r="D76" s="246">
        <v>68</v>
      </c>
      <c r="E76" s="247">
        <v>780</v>
      </c>
      <c r="F76" s="214" t="s">
        <v>33</v>
      </c>
      <c r="G76" s="210">
        <v>29</v>
      </c>
      <c r="H76" s="210">
        <v>21</v>
      </c>
      <c r="I76" s="211">
        <v>1363.6</v>
      </c>
      <c r="J76" s="213" t="s">
        <v>7</v>
      </c>
      <c r="K76" s="48">
        <v>780</v>
      </c>
      <c r="L76" s="48">
        <f>I76-K76</f>
        <v>583.59999999999991</v>
      </c>
      <c r="M76" s="48"/>
      <c r="N76" s="49"/>
      <c r="O76" s="49"/>
      <c r="P76" s="49"/>
      <c r="Q76" s="50">
        <f t="shared" ref="Q76:Q81" si="33">K76+L76+M76+N76+O76+P76</f>
        <v>1363.6</v>
      </c>
      <c r="R76" s="55" t="str">
        <f t="shared" ref="R76:R81" si="34">J76</f>
        <v>LUC</v>
      </c>
      <c r="S76" s="184"/>
      <c r="T76" s="40">
        <v>80000</v>
      </c>
      <c r="U76" s="40">
        <f t="shared" si="23"/>
        <v>109088000</v>
      </c>
      <c r="V76" s="158" t="s">
        <v>64</v>
      </c>
      <c r="W76" s="241" t="s">
        <v>24</v>
      </c>
      <c r="X76" s="242">
        <f t="shared" ref="X76" si="35">Q76</f>
        <v>1363.6</v>
      </c>
      <c r="Y76" s="41">
        <v>9000</v>
      </c>
      <c r="Z76" s="42">
        <v>1</v>
      </c>
      <c r="AA76" s="40">
        <f t="shared" ref="AA76:AA81" si="36">X76*Y76*Z76</f>
        <v>12272400</v>
      </c>
      <c r="AB76" s="40">
        <f t="shared" ref="AB76:AB81" si="37">(K76+L76+N76+O76)*T76*5</f>
        <v>545440000</v>
      </c>
      <c r="AC76" s="40">
        <f t="shared" ref="AC76:AC81" si="38">(K76+L76+N76+O76)*15000</f>
        <v>20454000</v>
      </c>
      <c r="AD76" s="40">
        <f t="shared" si="32"/>
        <v>0</v>
      </c>
      <c r="AE76" s="56">
        <f t="shared" ref="AE76:AE81" si="39">U76+AA76+AB76+AC76+AD76</f>
        <v>687254400</v>
      </c>
      <c r="AF76" s="504">
        <f>SUM(AE76:AE81)</f>
        <v>1055645300</v>
      </c>
      <c r="AG76" s="6"/>
      <c r="AH76" s="167"/>
      <c r="AI76" s="3"/>
      <c r="AJ76" s="4"/>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row>
    <row r="77" spans="1:249" s="2" customFormat="1" ht="30" customHeight="1" x14ac:dyDescent="0.25">
      <c r="A77" s="94">
        <v>21</v>
      </c>
      <c r="B77" s="95" t="s">
        <v>247</v>
      </c>
      <c r="C77" s="246" t="s">
        <v>40</v>
      </c>
      <c r="D77" s="246"/>
      <c r="E77" s="247">
        <v>192</v>
      </c>
      <c r="F77" s="214" t="s">
        <v>33</v>
      </c>
      <c r="G77" s="210">
        <v>29</v>
      </c>
      <c r="H77" s="210">
        <v>42</v>
      </c>
      <c r="I77" s="211">
        <v>257.8</v>
      </c>
      <c r="J77" s="213" t="s">
        <v>7</v>
      </c>
      <c r="K77" s="48"/>
      <c r="L77" s="48">
        <v>257.8</v>
      </c>
      <c r="M77" s="48"/>
      <c r="N77" s="49"/>
      <c r="O77" s="49"/>
      <c r="P77" s="49"/>
      <c r="Q77" s="50">
        <f t="shared" si="33"/>
        <v>257.8</v>
      </c>
      <c r="R77" s="55" t="str">
        <f t="shared" si="34"/>
        <v>LUC</v>
      </c>
      <c r="S77" s="185"/>
      <c r="T77" s="40">
        <v>80000</v>
      </c>
      <c r="U77" s="40">
        <f t="shared" si="23"/>
        <v>20624000</v>
      </c>
      <c r="V77" s="158" t="s">
        <v>64</v>
      </c>
      <c r="W77" s="241" t="s">
        <v>24</v>
      </c>
      <c r="X77" s="242">
        <f>Q77</f>
        <v>257.8</v>
      </c>
      <c r="Y77" s="41">
        <v>9000</v>
      </c>
      <c r="Z77" s="42">
        <v>1</v>
      </c>
      <c r="AA77" s="40">
        <f t="shared" si="36"/>
        <v>2320200</v>
      </c>
      <c r="AB77" s="40">
        <f t="shared" si="37"/>
        <v>103120000</v>
      </c>
      <c r="AC77" s="40">
        <f t="shared" si="38"/>
        <v>3867000</v>
      </c>
      <c r="AD77" s="40">
        <f t="shared" si="32"/>
        <v>0</v>
      </c>
      <c r="AE77" s="56">
        <f t="shared" si="39"/>
        <v>129931200</v>
      </c>
      <c r="AF77" s="504"/>
      <c r="AG77" s="109"/>
      <c r="AH77" s="43"/>
      <c r="AI77" s="3"/>
      <c r="AJ77" s="4"/>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row>
    <row r="78" spans="1:249" s="2" customFormat="1" ht="45" x14ac:dyDescent="0.25">
      <c r="A78" s="94">
        <v>21</v>
      </c>
      <c r="B78" s="95" t="s">
        <v>247</v>
      </c>
      <c r="C78" s="246">
        <v>5</v>
      </c>
      <c r="D78" s="246">
        <v>33</v>
      </c>
      <c r="E78" s="247">
        <v>120</v>
      </c>
      <c r="F78" s="214" t="s">
        <v>33</v>
      </c>
      <c r="G78" s="210">
        <v>29</v>
      </c>
      <c r="H78" s="210">
        <v>53</v>
      </c>
      <c r="I78" s="211">
        <v>189.7</v>
      </c>
      <c r="J78" s="213" t="s">
        <v>7</v>
      </c>
      <c r="K78" s="48">
        <v>120</v>
      </c>
      <c r="L78" s="48">
        <v>50.4</v>
      </c>
      <c r="M78" s="48"/>
      <c r="N78" s="49"/>
      <c r="O78" s="49"/>
      <c r="P78" s="49"/>
      <c r="Q78" s="50">
        <f t="shared" si="33"/>
        <v>170.4</v>
      </c>
      <c r="R78" s="55" t="str">
        <f t="shared" si="34"/>
        <v>LUC</v>
      </c>
      <c r="S78" s="185"/>
      <c r="T78" s="40">
        <v>80000</v>
      </c>
      <c r="U78" s="40">
        <f t="shared" si="23"/>
        <v>13632000</v>
      </c>
      <c r="V78" s="158" t="s">
        <v>64</v>
      </c>
      <c r="W78" s="241" t="s">
        <v>24</v>
      </c>
      <c r="X78" s="242">
        <f>Q78</f>
        <v>170.4</v>
      </c>
      <c r="Y78" s="41">
        <v>9000</v>
      </c>
      <c r="Z78" s="42">
        <v>1</v>
      </c>
      <c r="AA78" s="40">
        <f t="shared" si="36"/>
        <v>1533600</v>
      </c>
      <c r="AB78" s="40">
        <f t="shared" si="37"/>
        <v>68160000</v>
      </c>
      <c r="AC78" s="40">
        <f t="shared" si="38"/>
        <v>2556000</v>
      </c>
      <c r="AD78" s="40">
        <f t="shared" si="32"/>
        <v>0</v>
      </c>
      <c r="AE78" s="56">
        <f t="shared" si="39"/>
        <v>85881600</v>
      </c>
      <c r="AF78" s="504"/>
      <c r="AG78" s="69" t="s">
        <v>248</v>
      </c>
      <c r="AH78" s="43"/>
      <c r="AI78" s="3"/>
      <c r="AJ78" s="4"/>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row>
    <row r="79" spans="1:249" s="2" customFormat="1" ht="112.5" x14ac:dyDescent="0.25">
      <c r="A79" s="94">
        <v>21</v>
      </c>
      <c r="B79" s="95" t="s">
        <v>247</v>
      </c>
      <c r="C79" s="246">
        <v>4</v>
      </c>
      <c r="D79" s="246">
        <v>211</v>
      </c>
      <c r="E79" s="247">
        <v>324</v>
      </c>
      <c r="F79" s="214" t="s">
        <v>44</v>
      </c>
      <c r="G79" s="210">
        <v>28</v>
      </c>
      <c r="H79" s="210">
        <v>600</v>
      </c>
      <c r="I79" s="211">
        <v>358.1</v>
      </c>
      <c r="J79" s="213" t="s">
        <v>48</v>
      </c>
      <c r="K79" s="48">
        <v>21.6</v>
      </c>
      <c r="L79" s="48"/>
      <c r="M79" s="48"/>
      <c r="N79" s="49"/>
      <c r="O79" s="49"/>
      <c r="P79" s="49"/>
      <c r="Q79" s="50">
        <f t="shared" si="33"/>
        <v>21.6</v>
      </c>
      <c r="R79" s="55" t="str">
        <f t="shared" si="34"/>
        <v>LUK</v>
      </c>
      <c r="S79" s="185">
        <v>241.6</v>
      </c>
      <c r="T79" s="40">
        <v>80000</v>
      </c>
      <c r="U79" s="40">
        <f t="shared" si="23"/>
        <v>1728000</v>
      </c>
      <c r="V79" s="158" t="s">
        <v>64</v>
      </c>
      <c r="W79" s="241" t="s">
        <v>24</v>
      </c>
      <c r="X79" s="242">
        <f>Q79</f>
        <v>21.6</v>
      </c>
      <c r="Y79" s="41">
        <v>9000</v>
      </c>
      <c r="Z79" s="42">
        <v>1</v>
      </c>
      <c r="AA79" s="40">
        <f t="shared" si="36"/>
        <v>194400</v>
      </c>
      <c r="AB79" s="40">
        <f t="shared" si="37"/>
        <v>8640000</v>
      </c>
      <c r="AC79" s="40">
        <f t="shared" si="38"/>
        <v>324000</v>
      </c>
      <c r="AD79" s="40">
        <f t="shared" si="32"/>
        <v>0</v>
      </c>
      <c r="AE79" s="56">
        <f t="shared" si="39"/>
        <v>10886400</v>
      </c>
      <c r="AF79" s="504"/>
      <c r="AG79" s="69" t="s">
        <v>249</v>
      </c>
      <c r="AH79" s="43">
        <f>358.1-263.2</f>
        <v>94.900000000000034</v>
      </c>
      <c r="AI79" s="3"/>
      <c r="AJ79" s="4"/>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row>
    <row r="80" spans="1:249" s="2" customFormat="1" ht="67.5" x14ac:dyDescent="0.25">
      <c r="A80" s="94">
        <v>21</v>
      </c>
      <c r="B80" s="95" t="s">
        <v>247</v>
      </c>
      <c r="C80" s="246">
        <v>5</v>
      </c>
      <c r="D80" s="246">
        <v>136</v>
      </c>
      <c r="E80" s="247">
        <v>276</v>
      </c>
      <c r="F80" s="215" t="s">
        <v>38</v>
      </c>
      <c r="G80" s="210">
        <v>28</v>
      </c>
      <c r="H80" s="210">
        <v>775</v>
      </c>
      <c r="I80" s="211">
        <v>313.10000000000002</v>
      </c>
      <c r="J80" s="213" t="s">
        <v>7</v>
      </c>
      <c r="K80" s="48">
        <f>276-37.6</f>
        <v>238.4</v>
      </c>
      <c r="L80" s="48">
        <f>I80-K80-S80</f>
        <v>37.100000000000016</v>
      </c>
      <c r="M80" s="48"/>
      <c r="N80" s="49"/>
      <c r="O80" s="49"/>
      <c r="P80" s="49"/>
      <c r="Q80" s="50">
        <f t="shared" si="33"/>
        <v>275.5</v>
      </c>
      <c r="R80" s="55" t="str">
        <f t="shared" si="34"/>
        <v>LUC</v>
      </c>
      <c r="S80" s="185">
        <v>37.6</v>
      </c>
      <c r="T80" s="40">
        <v>80000</v>
      </c>
      <c r="U80" s="40">
        <f t="shared" si="23"/>
        <v>22040000</v>
      </c>
      <c r="V80" s="240" t="s">
        <v>250</v>
      </c>
      <c r="W80" s="241" t="s">
        <v>61</v>
      </c>
      <c r="X80" s="242">
        <v>11</v>
      </c>
      <c r="Y80" s="41">
        <v>305000</v>
      </c>
      <c r="Z80" s="42">
        <v>0.8</v>
      </c>
      <c r="AA80" s="40">
        <f t="shared" si="36"/>
        <v>2684000</v>
      </c>
      <c r="AB80" s="40">
        <f t="shared" si="37"/>
        <v>110200000</v>
      </c>
      <c r="AC80" s="40">
        <f t="shared" si="38"/>
        <v>4132500</v>
      </c>
      <c r="AD80" s="40">
        <f t="shared" si="32"/>
        <v>0</v>
      </c>
      <c r="AE80" s="56">
        <f t="shared" si="39"/>
        <v>139056500</v>
      </c>
      <c r="AF80" s="504"/>
      <c r="AG80" s="44" t="s">
        <v>181</v>
      </c>
      <c r="AH80" s="43"/>
      <c r="AI80" s="3"/>
      <c r="AJ80" s="4"/>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row>
    <row r="81" spans="1:249" s="2" customFormat="1" ht="90" x14ac:dyDescent="0.25">
      <c r="A81" s="94">
        <v>21</v>
      </c>
      <c r="B81" s="95" t="s">
        <v>247</v>
      </c>
      <c r="C81" s="246"/>
      <c r="D81" s="246"/>
      <c r="E81" s="247"/>
      <c r="F81" s="215" t="s">
        <v>38</v>
      </c>
      <c r="G81" s="210">
        <v>28</v>
      </c>
      <c r="H81" s="210">
        <v>775</v>
      </c>
      <c r="I81" s="211"/>
      <c r="J81" s="212"/>
      <c r="K81" s="48"/>
      <c r="L81" s="48"/>
      <c r="M81" s="48"/>
      <c r="N81" s="49"/>
      <c r="O81" s="49"/>
      <c r="P81" s="49"/>
      <c r="Q81" s="50">
        <f t="shared" si="33"/>
        <v>0</v>
      </c>
      <c r="R81" s="55">
        <f t="shared" si="34"/>
        <v>0</v>
      </c>
      <c r="S81" s="183"/>
      <c r="T81" s="40"/>
      <c r="U81" s="40">
        <f>(K81+L81+N81+O81)*T81</f>
        <v>0</v>
      </c>
      <c r="V81" s="240" t="s">
        <v>250</v>
      </c>
      <c r="W81" s="241" t="s">
        <v>61</v>
      </c>
      <c r="X81" s="242">
        <v>12</v>
      </c>
      <c r="Y81" s="174">
        <f>305000*90%</f>
        <v>274500</v>
      </c>
      <c r="Z81" s="42">
        <v>0.8</v>
      </c>
      <c r="AA81" s="40">
        <f t="shared" si="36"/>
        <v>2635200</v>
      </c>
      <c r="AB81" s="40">
        <f t="shared" si="37"/>
        <v>0</v>
      </c>
      <c r="AC81" s="40">
        <f t="shared" si="38"/>
        <v>0</v>
      </c>
      <c r="AD81" s="40">
        <f t="shared" si="32"/>
        <v>0</v>
      </c>
      <c r="AE81" s="56">
        <f t="shared" si="39"/>
        <v>2635200</v>
      </c>
      <c r="AF81" s="504"/>
      <c r="AG81" s="164" t="s">
        <v>251</v>
      </c>
      <c r="AH81" s="43"/>
      <c r="AI81" s="3"/>
      <c r="AJ81" s="4"/>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row>
    <row r="82" spans="1:249" s="2" customFormat="1" ht="27" customHeight="1" x14ac:dyDescent="0.25">
      <c r="A82" s="94">
        <v>22</v>
      </c>
      <c r="B82" s="95" t="s">
        <v>233</v>
      </c>
      <c r="C82" s="246">
        <v>5</v>
      </c>
      <c r="D82" s="246">
        <v>65</v>
      </c>
      <c r="E82" s="247">
        <v>144</v>
      </c>
      <c r="F82" s="214" t="s">
        <v>33</v>
      </c>
      <c r="G82" s="210">
        <v>29</v>
      </c>
      <c r="H82" s="210">
        <v>56</v>
      </c>
      <c r="I82" s="211">
        <v>142.5</v>
      </c>
      <c r="J82" s="213" t="s">
        <v>7</v>
      </c>
      <c r="K82" s="48">
        <v>142.5</v>
      </c>
      <c r="L82" s="48"/>
      <c r="M82" s="48"/>
      <c r="N82" s="49"/>
      <c r="O82" s="49"/>
      <c r="P82" s="49"/>
      <c r="Q82" s="50">
        <f t="shared" si="0"/>
        <v>142.5</v>
      </c>
      <c r="R82" s="55" t="str">
        <f t="shared" si="1"/>
        <v>LUC</v>
      </c>
      <c r="S82" s="183"/>
      <c r="T82" s="40">
        <v>80000</v>
      </c>
      <c r="U82" s="40">
        <f t="shared" si="23"/>
        <v>11400000</v>
      </c>
      <c r="V82" s="158" t="s">
        <v>64</v>
      </c>
      <c r="W82" s="241" t="s">
        <v>24</v>
      </c>
      <c r="X82" s="242">
        <f t="shared" ref="X82:X84" si="40">Q82</f>
        <v>142.5</v>
      </c>
      <c r="Y82" s="41">
        <v>9000</v>
      </c>
      <c r="Z82" s="42">
        <v>1</v>
      </c>
      <c r="AA82" s="40">
        <f t="shared" si="4"/>
        <v>1282500</v>
      </c>
      <c r="AB82" s="40">
        <f t="shared" si="6"/>
        <v>57000000</v>
      </c>
      <c r="AC82" s="40">
        <f t="shared" si="5"/>
        <v>2137500</v>
      </c>
      <c r="AD82" s="40">
        <f t="shared" si="32"/>
        <v>0</v>
      </c>
      <c r="AE82" s="56">
        <f t="shared" si="8"/>
        <v>71820000</v>
      </c>
      <c r="AF82" s="504">
        <f>SUM(AE82:AE84)</f>
        <v>573804000</v>
      </c>
      <c r="AG82" s="6"/>
      <c r="AH82" s="167"/>
      <c r="AI82" s="3"/>
      <c r="AJ82" s="4"/>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row>
    <row r="83" spans="1:249" s="2" customFormat="1" ht="27" customHeight="1" x14ac:dyDescent="0.25">
      <c r="A83" s="94">
        <v>22</v>
      </c>
      <c r="B83" s="95" t="s">
        <v>233</v>
      </c>
      <c r="C83" s="246">
        <v>5</v>
      </c>
      <c r="D83" s="246">
        <v>103</v>
      </c>
      <c r="E83" s="247">
        <v>840</v>
      </c>
      <c r="F83" s="214" t="s">
        <v>33</v>
      </c>
      <c r="G83" s="210">
        <v>28</v>
      </c>
      <c r="H83" s="210">
        <v>538</v>
      </c>
      <c r="I83" s="211">
        <v>863.1</v>
      </c>
      <c r="J83" s="213" t="s">
        <v>7</v>
      </c>
      <c r="K83" s="48">
        <v>840</v>
      </c>
      <c r="L83" s="48">
        <f>I83-K83</f>
        <v>23.100000000000023</v>
      </c>
      <c r="M83" s="48"/>
      <c r="N83" s="49"/>
      <c r="O83" s="49"/>
      <c r="P83" s="49"/>
      <c r="Q83" s="50">
        <f t="shared" si="0"/>
        <v>863.1</v>
      </c>
      <c r="R83" s="55" t="str">
        <f t="shared" si="1"/>
        <v>LUC</v>
      </c>
      <c r="S83" s="183"/>
      <c r="T83" s="40">
        <v>80000</v>
      </c>
      <c r="U83" s="40">
        <f t="shared" si="23"/>
        <v>69048000</v>
      </c>
      <c r="V83" s="158" t="s">
        <v>64</v>
      </c>
      <c r="W83" s="241" t="s">
        <v>24</v>
      </c>
      <c r="X83" s="242">
        <f t="shared" si="40"/>
        <v>863.1</v>
      </c>
      <c r="Y83" s="41">
        <v>9000</v>
      </c>
      <c r="Z83" s="42">
        <v>1</v>
      </c>
      <c r="AA83" s="40">
        <f t="shared" si="4"/>
        <v>7767900</v>
      </c>
      <c r="AB83" s="40">
        <f t="shared" si="6"/>
        <v>345240000</v>
      </c>
      <c r="AC83" s="40">
        <f t="shared" si="5"/>
        <v>12946500</v>
      </c>
      <c r="AD83" s="40">
        <f t="shared" si="32"/>
        <v>0</v>
      </c>
      <c r="AE83" s="56">
        <f t="shared" si="8"/>
        <v>435002400</v>
      </c>
      <c r="AF83" s="504"/>
      <c r="AG83" s="6"/>
      <c r="AH83" s="167"/>
      <c r="AI83" s="3"/>
      <c r="AJ83" s="4"/>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row>
    <row r="84" spans="1:249" s="2" customFormat="1" ht="27" customHeight="1" x14ac:dyDescent="0.25">
      <c r="A84" s="94">
        <v>22</v>
      </c>
      <c r="B84" s="95" t="s">
        <v>233</v>
      </c>
      <c r="C84" s="246">
        <v>5</v>
      </c>
      <c r="D84" s="246">
        <v>131</v>
      </c>
      <c r="E84" s="247">
        <v>120</v>
      </c>
      <c r="F84" s="214" t="s">
        <v>44</v>
      </c>
      <c r="G84" s="210">
        <v>28</v>
      </c>
      <c r="H84" s="210">
        <v>463</v>
      </c>
      <c r="I84" s="211">
        <v>132.9</v>
      </c>
      <c r="J84" s="212" t="s">
        <v>48</v>
      </c>
      <c r="K84" s="48">
        <v>120</v>
      </c>
      <c r="L84" s="48">
        <v>12.9</v>
      </c>
      <c r="M84" s="48"/>
      <c r="N84" s="49"/>
      <c r="O84" s="49"/>
      <c r="P84" s="49"/>
      <c r="Q84" s="50">
        <f t="shared" si="0"/>
        <v>132.9</v>
      </c>
      <c r="R84" s="55" t="str">
        <f t="shared" si="1"/>
        <v>LUK</v>
      </c>
      <c r="S84" s="183"/>
      <c r="T84" s="40">
        <v>80000</v>
      </c>
      <c r="U84" s="40">
        <f t="shared" si="23"/>
        <v>10632000</v>
      </c>
      <c r="V84" s="158" t="s">
        <v>64</v>
      </c>
      <c r="W84" s="241" t="s">
        <v>24</v>
      </c>
      <c r="X84" s="242">
        <f t="shared" si="40"/>
        <v>132.9</v>
      </c>
      <c r="Y84" s="41">
        <v>9000</v>
      </c>
      <c r="Z84" s="42">
        <v>1</v>
      </c>
      <c r="AA84" s="40">
        <f t="shared" si="4"/>
        <v>1196100</v>
      </c>
      <c r="AB84" s="40">
        <f t="shared" ref="AB84:AB114" si="41">(K84+L84+N84+O84)*T84*5</f>
        <v>53160000</v>
      </c>
      <c r="AC84" s="40">
        <f t="shared" si="5"/>
        <v>1993500</v>
      </c>
      <c r="AD84" s="40">
        <f t="shared" si="32"/>
        <v>0</v>
      </c>
      <c r="AE84" s="56">
        <f t="shared" ref="AE84:AE114" si="42">U84+AA84+AB84+AC84+AD84</f>
        <v>66981600</v>
      </c>
      <c r="AF84" s="504"/>
      <c r="AG84" s="69"/>
      <c r="AH84" s="43"/>
      <c r="AI84" s="3"/>
      <c r="AJ84" s="4"/>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row>
    <row r="85" spans="1:249" s="2" customFormat="1" ht="66" customHeight="1" x14ac:dyDescent="0.25">
      <c r="A85" s="94">
        <v>23</v>
      </c>
      <c r="B85" s="95" t="s">
        <v>235</v>
      </c>
      <c r="C85" s="246"/>
      <c r="D85" s="246"/>
      <c r="E85" s="216"/>
      <c r="F85" s="214" t="s">
        <v>44</v>
      </c>
      <c r="G85" s="210">
        <v>28</v>
      </c>
      <c r="H85" s="210">
        <v>613</v>
      </c>
      <c r="I85" s="211">
        <v>131.9</v>
      </c>
      <c r="J85" s="212" t="s">
        <v>7</v>
      </c>
      <c r="K85" s="48"/>
      <c r="L85" s="48">
        <v>131.9</v>
      </c>
      <c r="M85" s="48"/>
      <c r="N85" s="49"/>
      <c r="O85" s="49"/>
      <c r="P85" s="49"/>
      <c r="Q85" s="50">
        <f t="shared" si="0"/>
        <v>131.9</v>
      </c>
      <c r="R85" s="55" t="str">
        <f t="shared" si="1"/>
        <v>LUC</v>
      </c>
      <c r="S85" s="183" t="s">
        <v>234</v>
      </c>
      <c r="T85" s="40">
        <v>80000</v>
      </c>
      <c r="U85" s="40">
        <f t="shared" si="23"/>
        <v>10552000</v>
      </c>
      <c r="V85" s="158" t="s">
        <v>316</v>
      </c>
      <c r="W85" s="241" t="s">
        <v>61</v>
      </c>
      <c r="X85" s="242">
        <v>40</v>
      </c>
      <c r="Y85" s="41"/>
      <c r="Z85" s="42"/>
      <c r="AA85" s="40"/>
      <c r="AB85" s="40">
        <f t="shared" si="41"/>
        <v>52760000</v>
      </c>
      <c r="AC85" s="40">
        <f t="shared" si="5"/>
        <v>1978500</v>
      </c>
      <c r="AD85" s="40">
        <f t="shared" si="32"/>
        <v>0</v>
      </c>
      <c r="AE85" s="56">
        <f t="shared" si="42"/>
        <v>65290500</v>
      </c>
      <c r="AF85" s="504">
        <f>SUM(AE85:AE87)</f>
        <v>262395200</v>
      </c>
      <c r="AG85" s="69" t="s">
        <v>318</v>
      </c>
      <c r="AH85" s="43"/>
      <c r="AI85" s="3"/>
      <c r="AJ85" s="4"/>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row>
    <row r="86" spans="1:249" s="2" customFormat="1" ht="72.75" customHeight="1" x14ac:dyDescent="0.25">
      <c r="A86" s="94">
        <v>23</v>
      </c>
      <c r="B86" s="95" t="s">
        <v>235</v>
      </c>
      <c r="C86" s="246">
        <v>5</v>
      </c>
      <c r="D86" s="246">
        <v>132</v>
      </c>
      <c r="E86" s="247">
        <v>360</v>
      </c>
      <c r="F86" s="214" t="s">
        <v>44</v>
      </c>
      <c r="G86" s="210">
        <v>28</v>
      </c>
      <c r="H86" s="210">
        <v>605</v>
      </c>
      <c r="I86" s="211">
        <v>374.9</v>
      </c>
      <c r="J86" s="212" t="s">
        <v>48</v>
      </c>
      <c r="K86" s="48">
        <v>360</v>
      </c>
      <c r="L86" s="48">
        <f>I86-360</f>
        <v>14.899999999999977</v>
      </c>
      <c r="M86" s="48"/>
      <c r="N86" s="49"/>
      <c r="O86" s="49"/>
      <c r="P86" s="49"/>
      <c r="Q86" s="50">
        <f t="shared" ref="Q86" si="43">K86+L86+M86+N86+O86+P86</f>
        <v>374.9</v>
      </c>
      <c r="R86" s="55" t="str">
        <f t="shared" si="1"/>
        <v>LUK</v>
      </c>
      <c r="S86" s="183"/>
      <c r="T86" s="40">
        <v>80000</v>
      </c>
      <c r="U86" s="40">
        <f t="shared" si="23"/>
        <v>29992000</v>
      </c>
      <c r="V86" s="158" t="s">
        <v>310</v>
      </c>
      <c r="W86" s="241" t="s">
        <v>24</v>
      </c>
      <c r="X86" s="242">
        <v>281.2</v>
      </c>
      <c r="Y86" s="41">
        <v>41000</v>
      </c>
      <c r="Z86" s="42">
        <v>1</v>
      </c>
      <c r="AA86" s="40">
        <f t="shared" ref="AA86:AA114" si="44">X86*Y86*Z86</f>
        <v>11529200</v>
      </c>
      <c r="AB86" s="40">
        <f t="shared" si="41"/>
        <v>149960000</v>
      </c>
      <c r="AC86" s="40">
        <f t="shared" si="5"/>
        <v>5623500</v>
      </c>
      <c r="AD86" s="40">
        <f t="shared" si="32"/>
        <v>0</v>
      </c>
      <c r="AE86" s="56">
        <f t="shared" si="42"/>
        <v>197104700</v>
      </c>
      <c r="AF86" s="504"/>
      <c r="AG86" s="510" t="s">
        <v>317</v>
      </c>
      <c r="AH86" s="43">
        <f>Q86/4</f>
        <v>93.724999999999994</v>
      </c>
      <c r="AI86" s="3">
        <f>AH86*3</f>
        <v>281.17499999999995</v>
      </c>
      <c r="AJ86" s="4"/>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row>
    <row r="87" spans="1:249" s="2" customFormat="1" ht="72.75" customHeight="1" x14ac:dyDescent="0.25">
      <c r="A87" s="94">
        <v>23</v>
      </c>
      <c r="B87" s="95" t="s">
        <v>235</v>
      </c>
      <c r="C87" s="246"/>
      <c r="D87" s="246"/>
      <c r="E87" s="247"/>
      <c r="F87" s="214" t="s">
        <v>44</v>
      </c>
      <c r="G87" s="210">
        <v>28</v>
      </c>
      <c r="H87" s="210">
        <v>605</v>
      </c>
      <c r="I87" s="211"/>
      <c r="J87" s="212"/>
      <c r="K87" s="48"/>
      <c r="L87" s="48"/>
      <c r="M87" s="48"/>
      <c r="N87" s="49"/>
      <c r="O87" s="49"/>
      <c r="P87" s="49"/>
      <c r="Q87" s="50"/>
      <c r="R87" s="55"/>
      <c r="S87" s="183"/>
      <c r="T87" s="40"/>
      <c r="U87" s="40">
        <f t="shared" si="23"/>
        <v>0</v>
      </c>
      <c r="V87" s="158" t="s">
        <v>315</v>
      </c>
      <c r="W87" s="241" t="s">
        <v>61</v>
      </c>
      <c r="X87" s="242">
        <v>175</v>
      </c>
      <c r="Y87" s="41"/>
      <c r="Z87" s="42"/>
      <c r="AA87" s="40">
        <f t="shared" si="44"/>
        <v>0</v>
      </c>
      <c r="AB87" s="40">
        <f t="shared" si="41"/>
        <v>0</v>
      </c>
      <c r="AC87" s="40">
        <f t="shared" si="5"/>
        <v>0</v>
      </c>
      <c r="AD87" s="40">
        <f t="shared" si="32"/>
        <v>0</v>
      </c>
      <c r="AE87" s="56">
        <f t="shared" si="42"/>
        <v>0</v>
      </c>
      <c r="AF87" s="504"/>
      <c r="AG87" s="510"/>
      <c r="AH87" s="43">
        <f>175*50000</f>
        <v>8750000</v>
      </c>
      <c r="AI87" s="3"/>
      <c r="AJ87" s="4"/>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row>
    <row r="88" spans="1:249" s="2" customFormat="1" ht="33" customHeight="1" x14ac:dyDescent="0.25">
      <c r="A88" s="94">
        <v>24</v>
      </c>
      <c r="B88" s="95" t="s">
        <v>236</v>
      </c>
      <c r="C88" s="246">
        <v>5</v>
      </c>
      <c r="D88" s="246">
        <v>83</v>
      </c>
      <c r="E88" s="216">
        <v>144</v>
      </c>
      <c r="F88" s="248" t="s">
        <v>79</v>
      </c>
      <c r="G88" s="210">
        <v>28</v>
      </c>
      <c r="H88" s="210">
        <v>786</v>
      </c>
      <c r="I88" s="211">
        <v>159.4</v>
      </c>
      <c r="J88" s="212" t="s">
        <v>43</v>
      </c>
      <c r="K88" s="48">
        <v>144</v>
      </c>
      <c r="L88" s="48">
        <f>I88-K88</f>
        <v>15.400000000000006</v>
      </c>
      <c r="M88" s="48"/>
      <c r="N88" s="49"/>
      <c r="O88" s="49"/>
      <c r="P88" s="49"/>
      <c r="Q88" s="50">
        <f t="shared" ref="Q88:Q114" si="45">K88+L88+M88+N88+O88+P88</f>
        <v>159.4</v>
      </c>
      <c r="R88" s="55" t="str">
        <f t="shared" si="1"/>
        <v>BHK</v>
      </c>
      <c r="S88" s="183"/>
      <c r="T88" s="40">
        <v>80000</v>
      </c>
      <c r="U88" s="40">
        <f t="shared" si="23"/>
        <v>12752000</v>
      </c>
      <c r="V88" s="158" t="s">
        <v>64</v>
      </c>
      <c r="W88" s="241" t="s">
        <v>24</v>
      </c>
      <c r="X88" s="242">
        <f t="shared" ref="X88:X90" si="46">Q88</f>
        <v>159.4</v>
      </c>
      <c r="Y88" s="41">
        <v>9000</v>
      </c>
      <c r="Z88" s="42">
        <v>1</v>
      </c>
      <c r="AA88" s="40">
        <f t="shared" si="44"/>
        <v>1434600</v>
      </c>
      <c r="AB88" s="40">
        <f t="shared" si="41"/>
        <v>63760000</v>
      </c>
      <c r="AC88" s="40">
        <f t="shared" si="5"/>
        <v>2391000</v>
      </c>
      <c r="AD88" s="40">
        <f t="shared" si="32"/>
        <v>0</v>
      </c>
      <c r="AE88" s="56">
        <f t="shared" si="42"/>
        <v>80337600</v>
      </c>
      <c r="AF88" s="504">
        <f>SUM(AE88:AE90)</f>
        <v>384904800</v>
      </c>
      <c r="AG88" s="6"/>
      <c r="AH88" s="43"/>
      <c r="AI88" s="3"/>
      <c r="AJ88" s="4"/>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row>
    <row r="89" spans="1:249" s="2" customFormat="1" ht="30" customHeight="1" x14ac:dyDescent="0.25">
      <c r="A89" s="94">
        <v>24</v>
      </c>
      <c r="B89" s="95" t="s">
        <v>236</v>
      </c>
      <c r="C89" s="246">
        <v>5</v>
      </c>
      <c r="D89" s="246">
        <v>136</v>
      </c>
      <c r="E89" s="216">
        <v>168</v>
      </c>
      <c r="F89" s="248" t="s">
        <v>79</v>
      </c>
      <c r="G89" s="210">
        <v>28</v>
      </c>
      <c r="H89" s="210">
        <v>776</v>
      </c>
      <c r="I89" s="211">
        <v>184</v>
      </c>
      <c r="J89" s="212" t="s">
        <v>7</v>
      </c>
      <c r="K89" s="48">
        <v>168</v>
      </c>
      <c r="L89" s="48">
        <f t="shared" ref="L89" si="47">I89-K89</f>
        <v>16</v>
      </c>
      <c r="M89" s="48"/>
      <c r="N89" s="49"/>
      <c r="O89" s="49"/>
      <c r="P89" s="49"/>
      <c r="Q89" s="50">
        <f t="shared" si="45"/>
        <v>184</v>
      </c>
      <c r="R89" s="55" t="str">
        <f t="shared" ref="R89:R114" si="48">J89</f>
        <v>LUC</v>
      </c>
      <c r="S89" s="183"/>
      <c r="T89" s="40">
        <v>80000</v>
      </c>
      <c r="U89" s="40">
        <f t="shared" si="23"/>
        <v>14720000</v>
      </c>
      <c r="V89" s="158" t="s">
        <v>64</v>
      </c>
      <c r="W89" s="241" t="s">
        <v>24</v>
      </c>
      <c r="X89" s="242">
        <f t="shared" si="46"/>
        <v>184</v>
      </c>
      <c r="Y89" s="41">
        <v>9000</v>
      </c>
      <c r="Z89" s="42">
        <v>1</v>
      </c>
      <c r="AA89" s="40">
        <f t="shared" si="44"/>
        <v>1656000</v>
      </c>
      <c r="AB89" s="40">
        <f t="shared" si="41"/>
        <v>73600000</v>
      </c>
      <c r="AC89" s="40">
        <f t="shared" ref="AC89:AC114" si="49">(K89+L89+N89+O89)*15000</f>
        <v>2760000</v>
      </c>
      <c r="AD89" s="40">
        <f t="shared" si="32"/>
        <v>0</v>
      </c>
      <c r="AE89" s="56">
        <f t="shared" si="42"/>
        <v>92736000</v>
      </c>
      <c r="AF89" s="504"/>
      <c r="AG89" s="110"/>
      <c r="AH89" s="168"/>
      <c r="AI89" s="3"/>
      <c r="AJ89" s="4"/>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row>
    <row r="90" spans="1:249" s="2" customFormat="1" ht="67.5" x14ac:dyDescent="0.25">
      <c r="A90" s="94">
        <v>24</v>
      </c>
      <c r="B90" s="95" t="s">
        <v>236</v>
      </c>
      <c r="C90" s="246">
        <v>5</v>
      </c>
      <c r="D90" s="246">
        <v>48</v>
      </c>
      <c r="E90" s="216">
        <v>360</v>
      </c>
      <c r="F90" s="248" t="s">
        <v>237</v>
      </c>
      <c r="G90" s="210">
        <v>28</v>
      </c>
      <c r="H90" s="210">
        <v>721</v>
      </c>
      <c r="I90" s="211">
        <v>421.3</v>
      </c>
      <c r="J90" s="212" t="s">
        <v>7</v>
      </c>
      <c r="K90" s="48">
        <v>359</v>
      </c>
      <c r="L90" s="48">
        <f>I90-K90-S90</f>
        <v>61.300000000000011</v>
      </c>
      <c r="M90" s="48"/>
      <c r="N90" s="49"/>
      <c r="O90" s="49"/>
      <c r="P90" s="49"/>
      <c r="Q90" s="50">
        <f>K90+L90+M90+N90+O90+P90</f>
        <v>420.3</v>
      </c>
      <c r="R90" s="55" t="str">
        <f>J90</f>
        <v>LUC</v>
      </c>
      <c r="S90" s="183">
        <v>1</v>
      </c>
      <c r="T90" s="40">
        <v>80000</v>
      </c>
      <c r="U90" s="40">
        <f>(K90+L90+N90+O90)*T90</f>
        <v>33624000</v>
      </c>
      <c r="V90" s="158" t="s">
        <v>64</v>
      </c>
      <c r="W90" s="241" t="s">
        <v>24</v>
      </c>
      <c r="X90" s="242">
        <f t="shared" si="46"/>
        <v>420.3</v>
      </c>
      <c r="Y90" s="41">
        <v>9000</v>
      </c>
      <c r="Z90" s="42">
        <v>1</v>
      </c>
      <c r="AA90" s="40">
        <f>X90*Y90*Z90</f>
        <v>3782700</v>
      </c>
      <c r="AB90" s="40">
        <f>(K90+L90+N90+O90)*T90*5</f>
        <v>168120000</v>
      </c>
      <c r="AC90" s="40">
        <f>(K90+L90+N90+O90)*15000</f>
        <v>6304500</v>
      </c>
      <c r="AD90" s="40">
        <f t="shared" si="32"/>
        <v>0</v>
      </c>
      <c r="AE90" s="56">
        <f>U90+AA90+AB90+AC90+AD90</f>
        <v>211831200</v>
      </c>
      <c r="AF90" s="504"/>
      <c r="AG90" s="44" t="s">
        <v>159</v>
      </c>
      <c r="AH90" s="43"/>
      <c r="AI90" s="3"/>
      <c r="AJ90" s="4"/>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row>
    <row r="91" spans="1:249" s="2" customFormat="1" ht="45" x14ac:dyDescent="0.25">
      <c r="A91" s="94">
        <v>25</v>
      </c>
      <c r="B91" s="95" t="s">
        <v>238</v>
      </c>
      <c r="C91" s="246">
        <v>5</v>
      </c>
      <c r="D91" s="246">
        <v>75</v>
      </c>
      <c r="E91" s="247">
        <v>144</v>
      </c>
      <c r="F91" s="249" t="s">
        <v>33</v>
      </c>
      <c r="G91" s="210">
        <v>29</v>
      </c>
      <c r="H91" s="210">
        <v>62</v>
      </c>
      <c r="I91" s="211">
        <v>143.6</v>
      </c>
      <c r="J91" s="212" t="s">
        <v>7</v>
      </c>
      <c r="K91" s="48">
        <v>5.6</v>
      </c>
      <c r="L91" s="48"/>
      <c r="M91" s="48"/>
      <c r="N91" s="49"/>
      <c r="O91" s="49"/>
      <c r="P91" s="49"/>
      <c r="Q91" s="50">
        <f t="shared" si="45"/>
        <v>5.6</v>
      </c>
      <c r="R91" s="55" t="str">
        <f t="shared" si="48"/>
        <v>LUC</v>
      </c>
      <c r="S91" s="183"/>
      <c r="T91" s="40">
        <v>80000</v>
      </c>
      <c r="U91" s="40">
        <f t="shared" si="23"/>
        <v>448000</v>
      </c>
      <c r="V91" s="99" t="s">
        <v>323</v>
      </c>
      <c r="W91" s="241" t="s">
        <v>61</v>
      </c>
      <c r="X91" s="242">
        <v>2</v>
      </c>
      <c r="Y91" s="41">
        <v>118000</v>
      </c>
      <c r="Z91" s="42">
        <v>0.8</v>
      </c>
      <c r="AA91" s="40">
        <f t="shared" si="44"/>
        <v>188800</v>
      </c>
      <c r="AB91" s="40">
        <f t="shared" si="41"/>
        <v>2240000</v>
      </c>
      <c r="AC91" s="40">
        <f t="shared" si="49"/>
        <v>84000</v>
      </c>
      <c r="AD91" s="40">
        <f t="shared" si="32"/>
        <v>0</v>
      </c>
      <c r="AE91" s="56">
        <f t="shared" si="42"/>
        <v>2960800</v>
      </c>
      <c r="AF91" s="504">
        <f>SUM(AE91:AE94)</f>
        <v>389377600</v>
      </c>
      <c r="AG91" s="69" t="s">
        <v>240</v>
      </c>
      <c r="AH91" s="43">
        <f>138+5.6</f>
        <v>143.6</v>
      </c>
      <c r="AI91" s="3"/>
      <c r="AJ91" s="4"/>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row>
    <row r="92" spans="1:249" s="2" customFormat="1" ht="30" customHeight="1" x14ac:dyDescent="0.25">
      <c r="A92" s="94">
        <v>25</v>
      </c>
      <c r="B92" s="95" t="s">
        <v>238</v>
      </c>
      <c r="C92" s="246">
        <v>5</v>
      </c>
      <c r="D92" s="246">
        <v>98</v>
      </c>
      <c r="E92" s="247">
        <v>360</v>
      </c>
      <c r="F92" s="248" t="s">
        <v>237</v>
      </c>
      <c r="G92" s="210">
        <v>28</v>
      </c>
      <c r="H92" s="210">
        <v>674</v>
      </c>
      <c r="I92" s="211">
        <v>441.3</v>
      </c>
      <c r="J92" s="212" t="s">
        <v>7</v>
      </c>
      <c r="K92" s="48">
        <v>360</v>
      </c>
      <c r="L92" s="48">
        <f>I92-K92</f>
        <v>81.300000000000011</v>
      </c>
      <c r="M92" s="48"/>
      <c r="N92" s="49"/>
      <c r="O92" s="49"/>
      <c r="P92" s="49"/>
      <c r="Q92" s="50">
        <f t="shared" si="45"/>
        <v>441.3</v>
      </c>
      <c r="R92" s="55" t="str">
        <f t="shared" si="48"/>
        <v>LUC</v>
      </c>
      <c r="S92" s="183"/>
      <c r="T92" s="40">
        <v>80000</v>
      </c>
      <c r="U92" s="40">
        <f t="shared" si="23"/>
        <v>35304000</v>
      </c>
      <c r="V92" s="158" t="s">
        <v>64</v>
      </c>
      <c r="W92" s="241" t="s">
        <v>24</v>
      </c>
      <c r="X92" s="242">
        <f t="shared" ref="X92:X98" si="50">Q92</f>
        <v>441.3</v>
      </c>
      <c r="Y92" s="41">
        <v>9000</v>
      </c>
      <c r="Z92" s="42">
        <v>1</v>
      </c>
      <c r="AA92" s="40">
        <f t="shared" si="44"/>
        <v>3971700</v>
      </c>
      <c r="AB92" s="40">
        <f t="shared" si="41"/>
        <v>176520000</v>
      </c>
      <c r="AC92" s="40">
        <f t="shared" si="49"/>
        <v>6619500</v>
      </c>
      <c r="AD92" s="40">
        <f t="shared" si="32"/>
        <v>0</v>
      </c>
      <c r="AE92" s="56">
        <f t="shared" si="42"/>
        <v>222415200</v>
      </c>
      <c r="AF92" s="504"/>
      <c r="AG92" s="6"/>
      <c r="AH92" s="43"/>
      <c r="AI92" s="3"/>
      <c r="AJ92" s="4"/>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row>
    <row r="93" spans="1:249" s="2" customFormat="1" ht="45" x14ac:dyDescent="0.25">
      <c r="A93" s="94">
        <v>25</v>
      </c>
      <c r="B93" s="95" t="s">
        <v>238</v>
      </c>
      <c r="C93" s="246">
        <v>5</v>
      </c>
      <c r="D93" s="246" t="s">
        <v>239</v>
      </c>
      <c r="E93" s="247">
        <v>216</v>
      </c>
      <c r="F93" s="249" t="s">
        <v>51</v>
      </c>
      <c r="G93" s="210">
        <v>29</v>
      </c>
      <c r="H93" s="210">
        <v>11</v>
      </c>
      <c r="I93" s="211">
        <v>248.2</v>
      </c>
      <c r="J93" s="212" t="s">
        <v>48</v>
      </c>
      <c r="K93" s="48">
        <v>141.1</v>
      </c>
      <c r="L93" s="48"/>
      <c r="M93" s="48"/>
      <c r="N93" s="49"/>
      <c r="O93" s="49"/>
      <c r="P93" s="49"/>
      <c r="Q93" s="50">
        <f t="shared" si="45"/>
        <v>141.1</v>
      </c>
      <c r="R93" s="55" t="str">
        <f t="shared" si="48"/>
        <v>LUK</v>
      </c>
      <c r="S93" s="183"/>
      <c r="T93" s="40">
        <v>80000</v>
      </c>
      <c r="U93" s="40">
        <f t="shared" si="23"/>
        <v>11288000</v>
      </c>
      <c r="V93" s="158" t="s">
        <v>64</v>
      </c>
      <c r="W93" s="241" t="s">
        <v>24</v>
      </c>
      <c r="X93" s="242">
        <f t="shared" si="50"/>
        <v>141.1</v>
      </c>
      <c r="Y93" s="41">
        <v>9000</v>
      </c>
      <c r="Z93" s="42">
        <v>1</v>
      </c>
      <c r="AA93" s="40">
        <f t="shared" si="44"/>
        <v>1269900</v>
      </c>
      <c r="AB93" s="40">
        <f t="shared" si="41"/>
        <v>56440000</v>
      </c>
      <c r="AC93" s="40">
        <f t="shared" si="49"/>
        <v>2116500</v>
      </c>
      <c r="AD93" s="40">
        <f t="shared" si="32"/>
        <v>0</v>
      </c>
      <c r="AE93" s="56">
        <f t="shared" si="42"/>
        <v>71114400</v>
      </c>
      <c r="AF93" s="504"/>
      <c r="AG93" s="69" t="s">
        <v>241</v>
      </c>
      <c r="AH93" s="43">
        <f>141.1+107.1</f>
        <v>248.2</v>
      </c>
      <c r="AI93" s="3"/>
      <c r="AJ93" s="4"/>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row>
    <row r="94" spans="1:249" s="2" customFormat="1" ht="31.5" customHeight="1" x14ac:dyDescent="0.25">
      <c r="A94" s="94">
        <v>25</v>
      </c>
      <c r="B94" s="95" t="s">
        <v>238</v>
      </c>
      <c r="C94" s="246">
        <v>5</v>
      </c>
      <c r="D94" s="246">
        <v>75</v>
      </c>
      <c r="E94" s="247">
        <v>144</v>
      </c>
      <c r="F94" s="249" t="s">
        <v>51</v>
      </c>
      <c r="G94" s="210">
        <v>29</v>
      </c>
      <c r="H94" s="210">
        <v>10</v>
      </c>
      <c r="I94" s="211">
        <v>184.3</v>
      </c>
      <c r="J94" s="212" t="s">
        <v>48</v>
      </c>
      <c r="K94" s="48">
        <v>144</v>
      </c>
      <c r="L94" s="48">
        <f>I94-K94</f>
        <v>40.300000000000011</v>
      </c>
      <c r="M94" s="48"/>
      <c r="N94" s="49"/>
      <c r="O94" s="49"/>
      <c r="P94" s="49"/>
      <c r="Q94" s="50">
        <f t="shared" si="45"/>
        <v>184.3</v>
      </c>
      <c r="R94" s="55" t="str">
        <f t="shared" si="48"/>
        <v>LUK</v>
      </c>
      <c r="S94" s="183"/>
      <c r="T94" s="40">
        <v>80000</v>
      </c>
      <c r="U94" s="40">
        <f t="shared" si="23"/>
        <v>14744000</v>
      </c>
      <c r="V94" s="158" t="s">
        <v>64</v>
      </c>
      <c r="W94" s="241" t="s">
        <v>24</v>
      </c>
      <c r="X94" s="242">
        <f t="shared" si="50"/>
        <v>184.3</v>
      </c>
      <c r="Y94" s="41">
        <v>9000</v>
      </c>
      <c r="Z94" s="42">
        <v>1</v>
      </c>
      <c r="AA94" s="40">
        <f t="shared" si="44"/>
        <v>1658700</v>
      </c>
      <c r="AB94" s="40">
        <f t="shared" si="41"/>
        <v>73720000</v>
      </c>
      <c r="AC94" s="40">
        <f t="shared" si="49"/>
        <v>2764500</v>
      </c>
      <c r="AD94" s="40">
        <f t="shared" si="32"/>
        <v>0</v>
      </c>
      <c r="AE94" s="56">
        <f t="shared" si="42"/>
        <v>92887200</v>
      </c>
      <c r="AF94" s="504"/>
      <c r="AG94" s="6"/>
      <c r="AH94" s="167"/>
      <c r="AI94" s="3"/>
      <c r="AJ94" s="4"/>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row>
    <row r="95" spans="1:249" s="2" customFormat="1" ht="30" customHeight="1" x14ac:dyDescent="0.25">
      <c r="A95" s="94">
        <v>26</v>
      </c>
      <c r="B95" s="95" t="s">
        <v>242</v>
      </c>
      <c r="C95" s="246">
        <v>5</v>
      </c>
      <c r="D95" s="246">
        <v>39</v>
      </c>
      <c r="E95" s="216">
        <v>456</v>
      </c>
      <c r="F95" s="214" t="s">
        <v>33</v>
      </c>
      <c r="G95" s="210">
        <v>29</v>
      </c>
      <c r="H95" s="210">
        <v>12</v>
      </c>
      <c r="I95" s="211">
        <v>516.29999999999995</v>
      </c>
      <c r="J95" s="212" t="s">
        <v>7</v>
      </c>
      <c r="K95" s="48">
        <v>456</v>
      </c>
      <c r="L95" s="48">
        <f t="shared" ref="L95:L99" si="51">I95-K95</f>
        <v>60.299999999999955</v>
      </c>
      <c r="M95" s="48"/>
      <c r="N95" s="49"/>
      <c r="O95" s="49"/>
      <c r="P95" s="49"/>
      <c r="Q95" s="50">
        <f t="shared" si="45"/>
        <v>516.29999999999995</v>
      </c>
      <c r="R95" s="55" t="str">
        <f t="shared" si="48"/>
        <v>LUC</v>
      </c>
      <c r="S95" s="183"/>
      <c r="T95" s="40">
        <v>80000</v>
      </c>
      <c r="U95" s="40">
        <f t="shared" si="23"/>
        <v>41304000</v>
      </c>
      <c r="V95" s="158" t="s">
        <v>64</v>
      </c>
      <c r="W95" s="241" t="s">
        <v>24</v>
      </c>
      <c r="X95" s="242">
        <f t="shared" si="50"/>
        <v>516.29999999999995</v>
      </c>
      <c r="Y95" s="41">
        <v>9000</v>
      </c>
      <c r="Z95" s="42">
        <v>1</v>
      </c>
      <c r="AA95" s="40">
        <f t="shared" si="44"/>
        <v>4646700</v>
      </c>
      <c r="AB95" s="40">
        <f t="shared" si="41"/>
        <v>206520000</v>
      </c>
      <c r="AC95" s="40">
        <f t="shared" si="49"/>
        <v>7744499.9999999991</v>
      </c>
      <c r="AD95" s="40">
        <f t="shared" si="32"/>
        <v>0</v>
      </c>
      <c r="AE95" s="56">
        <f t="shared" si="42"/>
        <v>260215200</v>
      </c>
      <c r="AF95" s="504">
        <f>SUM(AE95:AE97)</f>
        <v>597290400</v>
      </c>
      <c r="AG95" s="6"/>
      <c r="AH95" s="43"/>
      <c r="AI95" s="3"/>
      <c r="AJ95" s="4"/>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row>
    <row r="96" spans="1:249" s="2" customFormat="1" ht="30" customHeight="1" x14ac:dyDescent="0.25">
      <c r="A96" s="94">
        <v>26</v>
      </c>
      <c r="B96" s="95" t="s">
        <v>242</v>
      </c>
      <c r="C96" s="246">
        <v>5</v>
      </c>
      <c r="D96" s="246">
        <v>40</v>
      </c>
      <c r="E96" s="216">
        <v>360</v>
      </c>
      <c r="F96" s="214" t="s">
        <v>33</v>
      </c>
      <c r="G96" s="210">
        <v>29</v>
      </c>
      <c r="H96" s="210">
        <v>37</v>
      </c>
      <c r="I96" s="211">
        <v>370.1</v>
      </c>
      <c r="J96" s="212" t="s">
        <v>7</v>
      </c>
      <c r="K96" s="48">
        <v>360</v>
      </c>
      <c r="L96" s="48">
        <f t="shared" si="51"/>
        <v>10.100000000000023</v>
      </c>
      <c r="M96" s="48"/>
      <c r="N96" s="49"/>
      <c r="O96" s="49"/>
      <c r="P96" s="49"/>
      <c r="Q96" s="50">
        <f t="shared" si="45"/>
        <v>370.1</v>
      </c>
      <c r="R96" s="55" t="str">
        <f t="shared" si="48"/>
        <v>LUC</v>
      </c>
      <c r="S96" s="183"/>
      <c r="T96" s="40">
        <v>80000</v>
      </c>
      <c r="U96" s="40">
        <f t="shared" si="23"/>
        <v>29608000</v>
      </c>
      <c r="V96" s="158" t="s">
        <v>64</v>
      </c>
      <c r="W96" s="241" t="s">
        <v>24</v>
      </c>
      <c r="X96" s="242">
        <f t="shared" si="50"/>
        <v>370.1</v>
      </c>
      <c r="Y96" s="41">
        <v>9000</v>
      </c>
      <c r="Z96" s="42">
        <v>1</v>
      </c>
      <c r="AA96" s="40">
        <f t="shared" si="44"/>
        <v>3330900</v>
      </c>
      <c r="AB96" s="40">
        <f t="shared" si="41"/>
        <v>148040000</v>
      </c>
      <c r="AC96" s="40">
        <f t="shared" si="49"/>
        <v>5551500</v>
      </c>
      <c r="AD96" s="40">
        <f t="shared" si="32"/>
        <v>0</v>
      </c>
      <c r="AE96" s="56">
        <f t="shared" si="42"/>
        <v>186530400</v>
      </c>
      <c r="AF96" s="504"/>
      <c r="AG96" s="69"/>
      <c r="AH96" s="43"/>
      <c r="AI96" s="3"/>
      <c r="AJ96" s="4"/>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row>
    <row r="97" spans="1:249" s="2" customFormat="1" ht="30" customHeight="1" x14ac:dyDescent="0.25">
      <c r="A97" s="94">
        <v>26</v>
      </c>
      <c r="B97" s="95" t="s">
        <v>242</v>
      </c>
      <c r="C97" s="246">
        <v>5</v>
      </c>
      <c r="D97" s="246">
        <v>98</v>
      </c>
      <c r="E97" s="216">
        <v>312</v>
      </c>
      <c r="F97" s="215" t="s">
        <v>201</v>
      </c>
      <c r="G97" s="210">
        <v>28</v>
      </c>
      <c r="H97" s="210">
        <v>676</v>
      </c>
      <c r="I97" s="211">
        <v>298.7</v>
      </c>
      <c r="J97" s="212" t="s">
        <v>7</v>
      </c>
      <c r="K97" s="48">
        <v>298.7</v>
      </c>
      <c r="L97" s="48">
        <f t="shared" si="51"/>
        <v>0</v>
      </c>
      <c r="M97" s="48"/>
      <c r="N97" s="49"/>
      <c r="O97" s="49"/>
      <c r="P97" s="49"/>
      <c r="Q97" s="50">
        <f t="shared" si="45"/>
        <v>298.7</v>
      </c>
      <c r="R97" s="55" t="str">
        <f t="shared" si="48"/>
        <v>LUC</v>
      </c>
      <c r="S97" s="183"/>
      <c r="T97" s="40">
        <v>80000</v>
      </c>
      <c r="U97" s="40">
        <f>(K97+L97+N97+O97)*T97</f>
        <v>23896000</v>
      </c>
      <c r="V97" s="158" t="s">
        <v>64</v>
      </c>
      <c r="W97" s="241" t="s">
        <v>24</v>
      </c>
      <c r="X97" s="242">
        <f t="shared" si="50"/>
        <v>298.7</v>
      </c>
      <c r="Y97" s="41">
        <v>9000</v>
      </c>
      <c r="Z97" s="42">
        <v>1</v>
      </c>
      <c r="AA97" s="40">
        <f t="shared" si="44"/>
        <v>2688300</v>
      </c>
      <c r="AB97" s="40">
        <f t="shared" si="41"/>
        <v>119480000</v>
      </c>
      <c r="AC97" s="40">
        <f t="shared" si="49"/>
        <v>4480500</v>
      </c>
      <c r="AD97" s="40">
        <f t="shared" si="32"/>
        <v>0</v>
      </c>
      <c r="AE97" s="56">
        <f t="shared" si="42"/>
        <v>150544800</v>
      </c>
      <c r="AF97" s="504"/>
      <c r="AG97" s="69"/>
      <c r="AH97" s="229">
        <f>I97-312</f>
        <v>-13.300000000000011</v>
      </c>
      <c r="AI97" s="3"/>
      <c r="AJ97" s="4"/>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row>
    <row r="98" spans="1:249" s="2" customFormat="1" ht="30" customHeight="1" x14ac:dyDescent="0.25">
      <c r="A98" s="94">
        <v>27</v>
      </c>
      <c r="B98" s="95" t="s">
        <v>243</v>
      </c>
      <c r="C98" s="246">
        <v>5</v>
      </c>
      <c r="D98" s="246">
        <v>131</v>
      </c>
      <c r="E98" s="216">
        <v>96</v>
      </c>
      <c r="F98" s="214" t="s">
        <v>44</v>
      </c>
      <c r="G98" s="210">
        <v>28</v>
      </c>
      <c r="H98" s="210">
        <v>548</v>
      </c>
      <c r="I98" s="211">
        <v>357.7</v>
      </c>
      <c r="J98" s="212" t="s">
        <v>48</v>
      </c>
      <c r="K98" s="48">
        <v>96</v>
      </c>
      <c r="L98" s="48">
        <f t="shared" si="51"/>
        <v>261.7</v>
      </c>
      <c r="M98" s="48"/>
      <c r="N98" s="49"/>
      <c r="O98" s="49"/>
      <c r="P98" s="49"/>
      <c r="Q98" s="50">
        <f t="shared" si="45"/>
        <v>357.7</v>
      </c>
      <c r="R98" s="55" t="str">
        <f t="shared" si="48"/>
        <v>LUK</v>
      </c>
      <c r="S98" s="183"/>
      <c r="T98" s="40">
        <v>80000</v>
      </c>
      <c r="U98" s="40">
        <f t="shared" ref="U98:U99" si="52">(K98+L98+N98+O98)*T98</f>
        <v>28616000</v>
      </c>
      <c r="V98" s="158" t="s">
        <v>64</v>
      </c>
      <c r="W98" s="241" t="s">
        <v>24</v>
      </c>
      <c r="X98" s="242">
        <f t="shared" si="50"/>
        <v>357.7</v>
      </c>
      <c r="Y98" s="41">
        <v>9000</v>
      </c>
      <c r="Z98" s="42">
        <v>1</v>
      </c>
      <c r="AA98" s="40">
        <f t="shared" si="44"/>
        <v>3219300</v>
      </c>
      <c r="AB98" s="40">
        <f t="shared" si="41"/>
        <v>143080000</v>
      </c>
      <c r="AC98" s="40">
        <f t="shared" si="49"/>
        <v>5365500</v>
      </c>
      <c r="AD98" s="40">
        <f t="shared" si="32"/>
        <v>0</v>
      </c>
      <c r="AE98" s="56">
        <f t="shared" si="42"/>
        <v>180280800</v>
      </c>
      <c r="AF98" s="504">
        <f>SUM(AE98:AE100)</f>
        <v>318916800</v>
      </c>
      <c r="AG98" s="69" t="s">
        <v>296</v>
      </c>
      <c r="AH98" s="166"/>
      <c r="AI98" s="3"/>
      <c r="AJ98" s="4"/>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row>
    <row r="99" spans="1:249" s="2" customFormat="1" ht="48" x14ac:dyDescent="0.25">
      <c r="A99" s="94">
        <v>27</v>
      </c>
      <c r="B99" s="95" t="s">
        <v>243</v>
      </c>
      <c r="C99" s="246">
        <v>5</v>
      </c>
      <c r="D99" s="246">
        <v>132</v>
      </c>
      <c r="E99" s="216">
        <v>240</v>
      </c>
      <c r="F99" s="214" t="s">
        <v>44</v>
      </c>
      <c r="G99" s="210">
        <v>28</v>
      </c>
      <c r="H99" s="210">
        <v>549</v>
      </c>
      <c r="I99" s="211">
        <v>271.2</v>
      </c>
      <c r="J99" s="212" t="s">
        <v>48</v>
      </c>
      <c r="K99" s="48">
        <v>240</v>
      </c>
      <c r="L99" s="48">
        <f t="shared" si="51"/>
        <v>31.199999999999989</v>
      </c>
      <c r="M99" s="48"/>
      <c r="N99" s="49"/>
      <c r="O99" s="49"/>
      <c r="P99" s="49"/>
      <c r="Q99" s="50">
        <f t="shared" si="45"/>
        <v>271.2</v>
      </c>
      <c r="R99" s="55" t="str">
        <f t="shared" si="48"/>
        <v>LUK</v>
      </c>
      <c r="S99" s="183"/>
      <c r="T99" s="40">
        <v>80000</v>
      </c>
      <c r="U99" s="40">
        <f t="shared" si="52"/>
        <v>21696000</v>
      </c>
      <c r="V99" s="240" t="s">
        <v>244</v>
      </c>
      <c r="W99" s="241" t="s">
        <v>61</v>
      </c>
      <c r="X99" s="242">
        <v>10</v>
      </c>
      <c r="Y99" s="41">
        <v>305000</v>
      </c>
      <c r="Z99" s="42">
        <v>0.8</v>
      </c>
      <c r="AA99" s="40">
        <f t="shared" si="44"/>
        <v>2440000</v>
      </c>
      <c r="AB99" s="40">
        <f t="shared" si="41"/>
        <v>108480000</v>
      </c>
      <c r="AC99" s="40">
        <f t="shared" si="49"/>
        <v>4068000</v>
      </c>
      <c r="AD99" s="40">
        <f t="shared" si="32"/>
        <v>0</v>
      </c>
      <c r="AE99" s="56">
        <f t="shared" si="42"/>
        <v>136684000</v>
      </c>
      <c r="AF99" s="504"/>
      <c r="AG99" s="69" t="s">
        <v>173</v>
      </c>
      <c r="AH99" s="43"/>
      <c r="AI99" s="3"/>
      <c r="AJ99" s="4"/>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row>
    <row r="100" spans="1:249" s="2" customFormat="1" ht="78.75" x14ac:dyDescent="0.25">
      <c r="A100" s="94">
        <v>27</v>
      </c>
      <c r="B100" s="95" t="s">
        <v>243</v>
      </c>
      <c r="C100" s="246"/>
      <c r="D100" s="246"/>
      <c r="E100" s="247"/>
      <c r="F100" s="214" t="s">
        <v>44</v>
      </c>
      <c r="G100" s="210">
        <v>28</v>
      </c>
      <c r="H100" s="210">
        <v>549</v>
      </c>
      <c r="I100" s="211"/>
      <c r="J100" s="212"/>
      <c r="K100" s="48"/>
      <c r="L100" s="48"/>
      <c r="M100" s="48"/>
      <c r="N100" s="49"/>
      <c r="O100" s="49"/>
      <c r="P100" s="49"/>
      <c r="Q100" s="50">
        <f t="shared" si="45"/>
        <v>0</v>
      </c>
      <c r="R100" s="55">
        <f t="shared" si="48"/>
        <v>0</v>
      </c>
      <c r="S100" s="183"/>
      <c r="T100" s="40"/>
      <c r="U100" s="40">
        <f>(K100+L100+N100+O100)*T100</f>
        <v>0</v>
      </c>
      <c r="V100" s="240" t="s">
        <v>244</v>
      </c>
      <c r="W100" s="241" t="s">
        <v>61</v>
      </c>
      <c r="X100" s="242">
        <v>8</v>
      </c>
      <c r="Y100" s="41">
        <v>305000</v>
      </c>
      <c r="Z100" s="42">
        <v>0.8</v>
      </c>
      <c r="AA100" s="40">
        <f t="shared" si="44"/>
        <v>1952000</v>
      </c>
      <c r="AB100" s="40">
        <f t="shared" si="41"/>
        <v>0</v>
      </c>
      <c r="AC100" s="40">
        <f t="shared" si="49"/>
        <v>0</v>
      </c>
      <c r="AD100" s="40">
        <f t="shared" si="32"/>
        <v>0</v>
      </c>
      <c r="AE100" s="56">
        <f t="shared" si="42"/>
        <v>1952000</v>
      </c>
      <c r="AF100" s="504"/>
      <c r="AG100" s="164" t="s">
        <v>245</v>
      </c>
      <c r="AH100" s="43"/>
      <c r="AI100" s="3"/>
      <c r="AJ100" s="4"/>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row>
    <row r="101" spans="1:249" s="2" customFormat="1" ht="38.25" x14ac:dyDescent="0.25">
      <c r="A101" s="94">
        <v>28</v>
      </c>
      <c r="B101" s="95" t="s">
        <v>246</v>
      </c>
      <c r="C101" s="246" t="s">
        <v>40</v>
      </c>
      <c r="D101" s="246"/>
      <c r="E101" s="247">
        <v>240</v>
      </c>
      <c r="F101" s="214" t="s">
        <v>44</v>
      </c>
      <c r="G101" s="210">
        <v>28</v>
      </c>
      <c r="H101" s="210">
        <v>544</v>
      </c>
      <c r="I101" s="211">
        <v>310.3</v>
      </c>
      <c r="J101" s="212" t="s">
        <v>7</v>
      </c>
      <c r="K101" s="48"/>
      <c r="L101" s="48">
        <v>310.3</v>
      </c>
      <c r="M101" s="48"/>
      <c r="N101" s="49"/>
      <c r="O101" s="49"/>
      <c r="P101" s="49"/>
      <c r="Q101" s="50">
        <f t="shared" si="45"/>
        <v>310.3</v>
      </c>
      <c r="R101" s="55" t="str">
        <f t="shared" si="48"/>
        <v>LUC</v>
      </c>
      <c r="S101" s="183"/>
      <c r="T101" s="40">
        <v>80000</v>
      </c>
      <c r="U101" s="40">
        <f>(K101+L101+N101+O101)*T101</f>
        <v>24824000</v>
      </c>
      <c r="V101" s="99" t="s">
        <v>321</v>
      </c>
      <c r="W101" s="241" t="s">
        <v>61</v>
      </c>
      <c r="X101" s="242">
        <v>20</v>
      </c>
      <c r="Y101" s="41">
        <v>118000</v>
      </c>
      <c r="Z101" s="42">
        <v>0.8</v>
      </c>
      <c r="AA101" s="40">
        <f t="shared" si="44"/>
        <v>1888000</v>
      </c>
      <c r="AB101" s="40">
        <f t="shared" si="41"/>
        <v>124120000</v>
      </c>
      <c r="AC101" s="40">
        <f t="shared" si="49"/>
        <v>4654500</v>
      </c>
      <c r="AD101" s="40">
        <f t="shared" si="32"/>
        <v>0</v>
      </c>
      <c r="AE101" s="56">
        <f t="shared" si="42"/>
        <v>155486500</v>
      </c>
      <c r="AF101" s="504">
        <f>AE101+AE102</f>
        <v>156446500</v>
      </c>
      <c r="AG101" s="69"/>
      <c r="AH101" s="43"/>
      <c r="AI101" s="3"/>
      <c r="AJ101" s="4"/>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row>
    <row r="102" spans="1:249" s="2" customFormat="1" ht="51" x14ac:dyDescent="0.25">
      <c r="A102" s="94">
        <v>28</v>
      </c>
      <c r="B102" s="95" t="s">
        <v>246</v>
      </c>
      <c r="C102" s="246"/>
      <c r="D102" s="246"/>
      <c r="E102" s="247"/>
      <c r="F102" s="214" t="s">
        <v>44</v>
      </c>
      <c r="G102" s="210">
        <v>28</v>
      </c>
      <c r="H102" s="210">
        <v>544</v>
      </c>
      <c r="I102" s="211"/>
      <c r="J102" s="212"/>
      <c r="K102" s="48"/>
      <c r="L102" s="48"/>
      <c r="M102" s="48"/>
      <c r="N102" s="49"/>
      <c r="O102" s="49"/>
      <c r="P102" s="49"/>
      <c r="Q102" s="50">
        <f t="shared" si="45"/>
        <v>0</v>
      </c>
      <c r="R102" s="55">
        <f t="shared" si="48"/>
        <v>0</v>
      </c>
      <c r="S102" s="183"/>
      <c r="T102" s="40"/>
      <c r="U102" s="40">
        <f>(K102+L102+N102+O102)*T102</f>
        <v>0</v>
      </c>
      <c r="V102" s="99" t="s">
        <v>324</v>
      </c>
      <c r="W102" s="241" t="s">
        <v>61</v>
      </c>
      <c r="X102" s="242">
        <v>30</v>
      </c>
      <c r="Y102" s="41">
        <v>40000</v>
      </c>
      <c r="Z102" s="42">
        <v>0.8</v>
      </c>
      <c r="AA102" s="40">
        <f t="shared" si="44"/>
        <v>960000</v>
      </c>
      <c r="AB102" s="40">
        <f t="shared" si="41"/>
        <v>0</v>
      </c>
      <c r="AC102" s="40">
        <f t="shared" si="49"/>
        <v>0</v>
      </c>
      <c r="AD102" s="40">
        <f t="shared" si="32"/>
        <v>0</v>
      </c>
      <c r="AE102" s="56">
        <f t="shared" si="42"/>
        <v>960000</v>
      </c>
      <c r="AF102" s="504"/>
      <c r="AG102" s="6"/>
      <c r="AH102" s="167"/>
      <c r="AI102" s="3"/>
      <c r="AJ102" s="4"/>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row>
    <row r="103" spans="1:249" s="2" customFormat="1" ht="45" x14ac:dyDescent="0.2">
      <c r="A103" s="94">
        <v>29</v>
      </c>
      <c r="B103" s="95" t="s">
        <v>273</v>
      </c>
      <c r="C103" s="246">
        <v>5</v>
      </c>
      <c r="D103" s="246">
        <v>64</v>
      </c>
      <c r="E103" s="247">
        <v>184</v>
      </c>
      <c r="F103" s="214" t="s">
        <v>33</v>
      </c>
      <c r="G103" s="210">
        <v>29</v>
      </c>
      <c r="H103" s="210">
        <v>91</v>
      </c>
      <c r="I103" s="211">
        <v>190.4</v>
      </c>
      <c r="J103" s="213" t="s">
        <v>7</v>
      </c>
      <c r="K103" s="48">
        <v>71.7</v>
      </c>
      <c r="L103" s="48"/>
      <c r="M103" s="48"/>
      <c r="N103" s="49"/>
      <c r="O103" s="49"/>
      <c r="P103" s="49"/>
      <c r="Q103" s="50">
        <f t="shared" si="45"/>
        <v>71.7</v>
      </c>
      <c r="R103" s="55" t="str">
        <f t="shared" si="48"/>
        <v>LUC</v>
      </c>
      <c r="S103" s="184"/>
      <c r="T103" s="40">
        <v>80000</v>
      </c>
      <c r="U103" s="40">
        <f t="shared" ref="U103:U111" si="53">(K103+L103+N103+O103)*T103</f>
        <v>5736000</v>
      </c>
      <c r="V103" s="158" t="s">
        <v>64</v>
      </c>
      <c r="W103" s="241" t="s">
        <v>24</v>
      </c>
      <c r="X103" s="242">
        <f t="shared" ref="X103" si="54">Q103</f>
        <v>71.7</v>
      </c>
      <c r="Y103" s="41">
        <v>9000</v>
      </c>
      <c r="Z103" s="42">
        <v>1</v>
      </c>
      <c r="AA103" s="40">
        <f t="shared" si="44"/>
        <v>645300</v>
      </c>
      <c r="AB103" s="40">
        <f t="shared" si="41"/>
        <v>28680000</v>
      </c>
      <c r="AC103" s="40">
        <f t="shared" si="49"/>
        <v>1075500</v>
      </c>
      <c r="AD103" s="40">
        <f t="shared" si="32"/>
        <v>0</v>
      </c>
      <c r="AE103" s="56">
        <f t="shared" si="42"/>
        <v>36136800</v>
      </c>
      <c r="AF103" s="250">
        <f>AE103</f>
        <v>36136800</v>
      </c>
      <c r="AG103" s="69" t="s">
        <v>274</v>
      </c>
      <c r="AH103" s="167"/>
      <c r="AI103" s="3"/>
      <c r="AJ103" s="4"/>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row>
    <row r="104" spans="1:249" s="2" customFormat="1" ht="45" x14ac:dyDescent="0.25">
      <c r="A104" s="94">
        <v>30</v>
      </c>
      <c r="B104" s="95" t="s">
        <v>252</v>
      </c>
      <c r="C104" s="246">
        <v>5</v>
      </c>
      <c r="D104" s="246">
        <v>179</v>
      </c>
      <c r="E104" s="247">
        <v>48</v>
      </c>
      <c r="F104" s="249" t="s">
        <v>44</v>
      </c>
      <c r="G104" s="210">
        <v>28</v>
      </c>
      <c r="H104" s="210">
        <v>602</v>
      </c>
      <c r="I104" s="211">
        <v>145</v>
      </c>
      <c r="J104" s="212" t="s">
        <v>48</v>
      </c>
      <c r="K104" s="48">
        <v>48</v>
      </c>
      <c r="L104" s="48">
        <v>94.1</v>
      </c>
      <c r="M104" s="48"/>
      <c r="N104" s="49"/>
      <c r="O104" s="49"/>
      <c r="P104" s="49"/>
      <c r="Q104" s="50">
        <f t="shared" si="45"/>
        <v>142.1</v>
      </c>
      <c r="R104" s="55" t="str">
        <f t="shared" si="48"/>
        <v>LUK</v>
      </c>
      <c r="S104" s="183"/>
      <c r="T104" s="40">
        <v>80000</v>
      </c>
      <c r="U104" s="40">
        <f t="shared" si="53"/>
        <v>11368000</v>
      </c>
      <c r="V104" s="244" t="s">
        <v>64</v>
      </c>
      <c r="W104" s="241" t="s">
        <v>24</v>
      </c>
      <c r="X104" s="242">
        <f>Q104</f>
        <v>142.1</v>
      </c>
      <c r="Y104" s="174">
        <v>9000</v>
      </c>
      <c r="Z104" s="42">
        <v>1</v>
      </c>
      <c r="AA104" s="40">
        <f t="shared" si="44"/>
        <v>1278900</v>
      </c>
      <c r="AB104" s="40">
        <f t="shared" si="41"/>
        <v>56840000</v>
      </c>
      <c r="AC104" s="40">
        <f t="shared" si="49"/>
        <v>2131500</v>
      </c>
      <c r="AD104" s="40">
        <f t="shared" si="32"/>
        <v>0</v>
      </c>
      <c r="AE104" s="56">
        <f t="shared" si="42"/>
        <v>71618400</v>
      </c>
      <c r="AF104" s="56">
        <f>AE104</f>
        <v>71618400</v>
      </c>
      <c r="AG104" s="69" t="s">
        <v>253</v>
      </c>
      <c r="AH104" s="169" t="s">
        <v>254</v>
      </c>
      <c r="AI104" s="3"/>
      <c r="AJ104" s="4"/>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row>
    <row r="105" spans="1:249" s="2" customFormat="1" ht="29.25" customHeight="1" x14ac:dyDescent="0.25">
      <c r="A105" s="94">
        <v>31</v>
      </c>
      <c r="B105" s="95" t="s">
        <v>255</v>
      </c>
      <c r="C105" s="246" t="s">
        <v>40</v>
      </c>
      <c r="D105" s="246"/>
      <c r="E105" s="247">
        <v>120</v>
      </c>
      <c r="F105" s="248" t="s">
        <v>256</v>
      </c>
      <c r="G105" s="210">
        <v>28</v>
      </c>
      <c r="H105" s="210">
        <v>537</v>
      </c>
      <c r="I105" s="211">
        <v>164.2</v>
      </c>
      <c r="J105" s="212" t="s">
        <v>48</v>
      </c>
      <c r="K105" s="48"/>
      <c r="L105" s="48">
        <v>164.2</v>
      </c>
      <c r="M105" s="48"/>
      <c r="N105" s="49"/>
      <c r="O105" s="49"/>
      <c r="P105" s="49"/>
      <c r="Q105" s="50">
        <f t="shared" si="45"/>
        <v>164.2</v>
      </c>
      <c r="R105" s="55" t="str">
        <f t="shared" si="48"/>
        <v>LUK</v>
      </c>
      <c r="S105" s="183"/>
      <c r="T105" s="40">
        <v>80000</v>
      </c>
      <c r="U105" s="40">
        <f t="shared" si="53"/>
        <v>13136000</v>
      </c>
      <c r="V105" s="158" t="s">
        <v>64</v>
      </c>
      <c r="W105" s="241" t="s">
        <v>24</v>
      </c>
      <c r="X105" s="242">
        <f>Q105</f>
        <v>164.2</v>
      </c>
      <c r="Y105" s="41">
        <v>9000</v>
      </c>
      <c r="Z105" s="42">
        <v>1</v>
      </c>
      <c r="AA105" s="40">
        <f t="shared" si="44"/>
        <v>1477800</v>
      </c>
      <c r="AB105" s="40">
        <f t="shared" si="41"/>
        <v>65680000</v>
      </c>
      <c r="AC105" s="40">
        <f t="shared" si="49"/>
        <v>2463000</v>
      </c>
      <c r="AD105" s="40">
        <f t="shared" si="32"/>
        <v>0</v>
      </c>
      <c r="AE105" s="56">
        <f t="shared" si="42"/>
        <v>82756800</v>
      </c>
      <c r="AF105" s="504">
        <f>SUM(AE105:AE107)</f>
        <v>229138800</v>
      </c>
      <c r="AG105" s="69"/>
      <c r="AH105" s="43"/>
      <c r="AI105" s="3"/>
      <c r="AJ105" s="4"/>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row>
    <row r="106" spans="1:249" s="2" customFormat="1" ht="90" x14ac:dyDescent="0.25">
      <c r="A106" s="94">
        <v>31</v>
      </c>
      <c r="B106" s="95" t="s">
        <v>255</v>
      </c>
      <c r="C106" s="246">
        <v>5</v>
      </c>
      <c r="D106" s="246">
        <v>132</v>
      </c>
      <c r="E106" s="247">
        <v>288</v>
      </c>
      <c r="F106" s="249" t="s">
        <v>44</v>
      </c>
      <c r="G106" s="210">
        <v>28</v>
      </c>
      <c r="H106" s="210">
        <v>550</v>
      </c>
      <c r="I106" s="211">
        <v>294.8</v>
      </c>
      <c r="J106" s="212" t="s">
        <v>48</v>
      </c>
      <c r="K106" s="48">
        <v>288</v>
      </c>
      <c r="L106" s="48">
        <f>I106-K106</f>
        <v>6.8000000000000114</v>
      </c>
      <c r="M106" s="48"/>
      <c r="N106" s="49"/>
      <c r="O106" s="49"/>
      <c r="P106" s="49"/>
      <c r="Q106" s="50">
        <f t="shared" si="45"/>
        <v>294.8</v>
      </c>
      <c r="R106" s="55" t="str">
        <f t="shared" si="48"/>
        <v>LUK</v>
      </c>
      <c r="S106" s="183"/>
      <c r="T106" s="40">
        <v>80000</v>
      </c>
      <c r="U106" s="40">
        <f t="shared" si="53"/>
        <v>23584000</v>
      </c>
      <c r="V106" s="158" t="s">
        <v>267</v>
      </c>
      <c r="W106" s="241" t="s">
        <v>24</v>
      </c>
      <c r="X106" s="242">
        <v>100</v>
      </c>
      <c r="Y106" s="41"/>
      <c r="Z106" s="42"/>
      <c r="AA106" s="40">
        <f t="shared" si="44"/>
        <v>0</v>
      </c>
      <c r="AB106" s="40">
        <f t="shared" si="41"/>
        <v>117920000</v>
      </c>
      <c r="AC106" s="40">
        <f t="shared" si="49"/>
        <v>4422000</v>
      </c>
      <c r="AD106" s="40">
        <f t="shared" si="32"/>
        <v>0</v>
      </c>
      <c r="AE106" s="56">
        <f t="shared" si="42"/>
        <v>145926000</v>
      </c>
      <c r="AF106" s="504"/>
      <c r="AG106" s="69" t="s">
        <v>266</v>
      </c>
      <c r="AH106" s="166"/>
      <c r="AI106" s="3"/>
      <c r="AJ106" s="4"/>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row>
    <row r="107" spans="1:249" s="2" customFormat="1" ht="78.75" x14ac:dyDescent="0.25">
      <c r="A107" s="94">
        <v>31</v>
      </c>
      <c r="B107" s="95" t="s">
        <v>255</v>
      </c>
      <c r="C107" s="246"/>
      <c r="D107" s="246"/>
      <c r="E107" s="247"/>
      <c r="F107" s="249" t="s">
        <v>44</v>
      </c>
      <c r="G107" s="210">
        <v>28</v>
      </c>
      <c r="H107" s="210">
        <v>550</v>
      </c>
      <c r="I107" s="211"/>
      <c r="J107" s="212"/>
      <c r="K107" s="48"/>
      <c r="L107" s="48"/>
      <c r="M107" s="48"/>
      <c r="N107" s="49"/>
      <c r="O107" s="49"/>
      <c r="P107" s="49"/>
      <c r="Q107" s="50">
        <f t="shared" si="45"/>
        <v>0</v>
      </c>
      <c r="R107" s="55">
        <f t="shared" si="48"/>
        <v>0</v>
      </c>
      <c r="S107" s="183"/>
      <c r="T107" s="40"/>
      <c r="U107" s="40">
        <f t="shared" si="53"/>
        <v>0</v>
      </c>
      <c r="V107" s="96" t="s">
        <v>311</v>
      </c>
      <c r="W107" s="241" t="s">
        <v>61</v>
      </c>
      <c r="X107" s="242">
        <v>2</v>
      </c>
      <c r="Y107" s="41">
        <v>285000</v>
      </c>
      <c r="Z107" s="42">
        <v>0.8</v>
      </c>
      <c r="AA107" s="40">
        <f t="shared" si="44"/>
        <v>456000</v>
      </c>
      <c r="AB107" s="40">
        <f t="shared" si="41"/>
        <v>0</v>
      </c>
      <c r="AC107" s="40">
        <f t="shared" si="49"/>
        <v>0</v>
      </c>
      <c r="AD107" s="40">
        <f t="shared" si="32"/>
        <v>0</v>
      </c>
      <c r="AE107" s="56">
        <f t="shared" si="42"/>
        <v>456000</v>
      </c>
      <c r="AF107" s="504"/>
      <c r="AG107" s="264" t="s">
        <v>245</v>
      </c>
      <c r="AH107" s="43"/>
      <c r="AI107" s="3"/>
      <c r="AJ107" s="4"/>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row>
    <row r="108" spans="1:249" s="2" customFormat="1" ht="51" x14ac:dyDescent="0.25">
      <c r="A108" s="94">
        <v>32</v>
      </c>
      <c r="B108" s="95" t="s">
        <v>257</v>
      </c>
      <c r="C108" s="246">
        <v>5</v>
      </c>
      <c r="D108" s="246">
        <v>43</v>
      </c>
      <c r="E108" s="247">
        <f>312+48</f>
        <v>360</v>
      </c>
      <c r="F108" s="214" t="s">
        <v>33</v>
      </c>
      <c r="G108" s="210">
        <v>29</v>
      </c>
      <c r="H108" s="210">
        <v>59</v>
      </c>
      <c r="I108" s="211">
        <v>425.8</v>
      </c>
      <c r="J108" s="212" t="s">
        <v>7</v>
      </c>
      <c r="K108" s="48">
        <v>360</v>
      </c>
      <c r="L108" s="48">
        <f>I108-K108</f>
        <v>65.800000000000011</v>
      </c>
      <c r="M108" s="48"/>
      <c r="N108" s="49"/>
      <c r="O108" s="49"/>
      <c r="P108" s="49"/>
      <c r="Q108" s="50">
        <f t="shared" si="45"/>
        <v>425.8</v>
      </c>
      <c r="R108" s="55" t="str">
        <f t="shared" si="48"/>
        <v>LUC</v>
      </c>
      <c r="S108" s="183"/>
      <c r="T108" s="40">
        <v>80000</v>
      </c>
      <c r="U108" s="40">
        <f t="shared" si="53"/>
        <v>34064000</v>
      </c>
      <c r="V108" s="271" t="s">
        <v>258</v>
      </c>
      <c r="W108" s="241" t="s">
        <v>61</v>
      </c>
      <c r="X108" s="242">
        <v>8</v>
      </c>
      <c r="Y108" s="41">
        <v>45000</v>
      </c>
      <c r="Z108" s="42">
        <v>0.8</v>
      </c>
      <c r="AA108" s="40">
        <f t="shared" si="44"/>
        <v>288000</v>
      </c>
      <c r="AB108" s="40">
        <f t="shared" si="41"/>
        <v>170320000</v>
      </c>
      <c r="AC108" s="40">
        <f t="shared" si="49"/>
        <v>6387000</v>
      </c>
      <c r="AD108" s="40">
        <f t="shared" si="32"/>
        <v>0</v>
      </c>
      <c r="AE108" s="56">
        <f t="shared" si="42"/>
        <v>211059000</v>
      </c>
      <c r="AF108" s="504">
        <f>SUM(AE108:AE114)</f>
        <v>1417370200</v>
      </c>
      <c r="AG108" s="6"/>
      <c r="AH108" s="43"/>
      <c r="AI108" s="3"/>
      <c r="AJ108" s="4"/>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row>
    <row r="109" spans="1:249" s="2" customFormat="1" ht="51" x14ac:dyDescent="0.25">
      <c r="A109" s="94">
        <v>32</v>
      </c>
      <c r="B109" s="95" t="s">
        <v>257</v>
      </c>
      <c r="C109" s="246"/>
      <c r="D109" s="246"/>
      <c r="E109" s="247"/>
      <c r="F109" s="214" t="s">
        <v>33</v>
      </c>
      <c r="G109" s="210">
        <v>29</v>
      </c>
      <c r="H109" s="210">
        <v>59</v>
      </c>
      <c r="I109" s="211"/>
      <c r="J109" s="212"/>
      <c r="K109" s="48"/>
      <c r="L109" s="48"/>
      <c r="M109" s="48"/>
      <c r="N109" s="49"/>
      <c r="O109" s="49"/>
      <c r="P109" s="49"/>
      <c r="Q109" s="50"/>
      <c r="R109" s="55"/>
      <c r="S109" s="183"/>
      <c r="T109" s="40"/>
      <c r="U109" s="40"/>
      <c r="V109" s="271" t="s">
        <v>303</v>
      </c>
      <c r="W109" s="241" t="s">
        <v>61</v>
      </c>
      <c r="X109" s="242">
        <v>2</v>
      </c>
      <c r="Y109" s="41">
        <v>1000000</v>
      </c>
      <c r="Z109" s="42">
        <v>0.8</v>
      </c>
      <c r="AA109" s="40">
        <f t="shared" si="44"/>
        <v>1600000</v>
      </c>
      <c r="AB109" s="40"/>
      <c r="AC109" s="40"/>
      <c r="AD109" s="40">
        <f t="shared" si="32"/>
        <v>0</v>
      </c>
      <c r="AE109" s="56">
        <f t="shared" si="42"/>
        <v>1600000</v>
      </c>
      <c r="AF109" s="504"/>
      <c r="AG109" s="6"/>
      <c r="AH109" s="43"/>
      <c r="AI109" s="3"/>
      <c r="AJ109" s="4"/>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row>
    <row r="110" spans="1:249" s="2" customFormat="1" ht="27" customHeight="1" x14ac:dyDescent="0.25">
      <c r="A110" s="94">
        <v>32</v>
      </c>
      <c r="B110" s="95" t="s">
        <v>257</v>
      </c>
      <c r="C110" s="494">
        <v>5</v>
      </c>
      <c r="D110" s="494">
        <v>40</v>
      </c>
      <c r="E110" s="495">
        <v>792</v>
      </c>
      <c r="F110" s="214" t="s">
        <v>33</v>
      </c>
      <c r="G110" s="210">
        <v>29</v>
      </c>
      <c r="H110" s="210">
        <v>36</v>
      </c>
      <c r="I110" s="211">
        <v>372.3</v>
      </c>
      <c r="J110" s="212" t="s">
        <v>7</v>
      </c>
      <c r="K110" s="48">
        <v>372.3</v>
      </c>
      <c r="L110" s="48"/>
      <c r="M110" s="48"/>
      <c r="N110" s="49"/>
      <c r="O110" s="49"/>
      <c r="P110" s="49"/>
      <c r="Q110" s="50">
        <f t="shared" si="45"/>
        <v>372.3</v>
      </c>
      <c r="R110" s="55" t="str">
        <f t="shared" si="48"/>
        <v>LUC</v>
      </c>
      <c r="S110" s="183"/>
      <c r="T110" s="40">
        <v>80000</v>
      </c>
      <c r="U110" s="40">
        <f t="shared" si="53"/>
        <v>29784000</v>
      </c>
      <c r="V110" s="158" t="s">
        <v>64</v>
      </c>
      <c r="W110" s="241" t="s">
        <v>24</v>
      </c>
      <c r="X110" s="242">
        <f t="shared" ref="X110:X114" si="55">Q110</f>
        <v>372.3</v>
      </c>
      <c r="Y110" s="41">
        <v>9000</v>
      </c>
      <c r="Z110" s="42">
        <v>1</v>
      </c>
      <c r="AA110" s="40">
        <f t="shared" si="44"/>
        <v>3350700</v>
      </c>
      <c r="AB110" s="40">
        <f t="shared" si="41"/>
        <v>148920000</v>
      </c>
      <c r="AC110" s="40">
        <f t="shared" si="49"/>
        <v>5584500</v>
      </c>
      <c r="AD110" s="40">
        <f t="shared" si="32"/>
        <v>0</v>
      </c>
      <c r="AE110" s="56">
        <f t="shared" si="42"/>
        <v>187639200</v>
      </c>
      <c r="AF110" s="504"/>
      <c r="AG110" s="6">
        <f>Q110+Q111-E110</f>
        <v>-12.299999999999955</v>
      </c>
      <c r="AH110" s="43"/>
      <c r="AI110" s="3"/>
      <c r="AJ110" s="4"/>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row>
    <row r="111" spans="1:249" s="2" customFormat="1" ht="27" customHeight="1" x14ac:dyDescent="0.25">
      <c r="A111" s="94">
        <v>32</v>
      </c>
      <c r="B111" s="95" t="s">
        <v>257</v>
      </c>
      <c r="C111" s="494"/>
      <c r="D111" s="494"/>
      <c r="E111" s="495"/>
      <c r="F111" s="214" t="s">
        <v>33</v>
      </c>
      <c r="G111" s="210">
        <v>29</v>
      </c>
      <c r="H111" s="210">
        <v>46</v>
      </c>
      <c r="I111" s="211">
        <v>407.4</v>
      </c>
      <c r="J111" s="212" t="s">
        <v>7</v>
      </c>
      <c r="K111" s="48">
        <v>407.4</v>
      </c>
      <c r="L111" s="48"/>
      <c r="M111" s="48"/>
      <c r="N111" s="49"/>
      <c r="O111" s="49"/>
      <c r="P111" s="49"/>
      <c r="Q111" s="50">
        <f t="shared" si="45"/>
        <v>407.4</v>
      </c>
      <c r="R111" s="55" t="str">
        <f t="shared" si="48"/>
        <v>LUC</v>
      </c>
      <c r="S111" s="183"/>
      <c r="T111" s="40">
        <v>80000</v>
      </c>
      <c r="U111" s="40">
        <f t="shared" si="53"/>
        <v>32592000</v>
      </c>
      <c r="V111" s="158" t="s">
        <v>64</v>
      </c>
      <c r="W111" s="241" t="s">
        <v>24</v>
      </c>
      <c r="X111" s="242">
        <f t="shared" si="55"/>
        <v>407.4</v>
      </c>
      <c r="Y111" s="41">
        <v>9000</v>
      </c>
      <c r="Z111" s="42">
        <v>1</v>
      </c>
      <c r="AA111" s="40">
        <f t="shared" si="44"/>
        <v>3666600</v>
      </c>
      <c r="AB111" s="40">
        <f t="shared" si="41"/>
        <v>162960000</v>
      </c>
      <c r="AC111" s="40">
        <f t="shared" si="49"/>
        <v>6111000</v>
      </c>
      <c r="AD111" s="40">
        <f t="shared" si="32"/>
        <v>0</v>
      </c>
      <c r="AE111" s="56">
        <f t="shared" si="42"/>
        <v>205329600</v>
      </c>
      <c r="AF111" s="504"/>
      <c r="AG111" s="6"/>
      <c r="AH111" s="43"/>
      <c r="AI111" s="3"/>
      <c r="AJ111" s="4"/>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row>
    <row r="112" spans="1:249" s="2" customFormat="1" ht="27" customHeight="1" x14ac:dyDescent="0.25">
      <c r="A112" s="94">
        <v>32</v>
      </c>
      <c r="B112" s="95" t="s">
        <v>257</v>
      </c>
      <c r="C112" s="494">
        <v>5</v>
      </c>
      <c r="D112" s="494">
        <v>79</v>
      </c>
      <c r="E112" s="495">
        <v>864</v>
      </c>
      <c r="F112" s="214" t="s">
        <v>33</v>
      </c>
      <c r="G112" s="210">
        <v>28</v>
      </c>
      <c r="H112" s="210">
        <v>612</v>
      </c>
      <c r="I112" s="211">
        <v>388.5</v>
      </c>
      <c r="J112" s="212" t="s">
        <v>7</v>
      </c>
      <c r="K112" s="48">
        <v>388.5</v>
      </c>
      <c r="L112" s="48"/>
      <c r="M112" s="48"/>
      <c r="N112" s="49"/>
      <c r="O112" s="49"/>
      <c r="P112" s="49"/>
      <c r="Q112" s="50">
        <f t="shared" si="45"/>
        <v>388.5</v>
      </c>
      <c r="R112" s="55" t="str">
        <f t="shared" si="48"/>
        <v>LUC</v>
      </c>
      <c r="S112" s="183"/>
      <c r="T112" s="40">
        <v>80000</v>
      </c>
      <c r="U112" s="40">
        <f>(K112+L112+N112+O112)*T112</f>
        <v>31080000</v>
      </c>
      <c r="V112" s="158" t="s">
        <v>64</v>
      </c>
      <c r="W112" s="241" t="s">
        <v>24</v>
      </c>
      <c r="X112" s="242">
        <f t="shared" si="55"/>
        <v>388.5</v>
      </c>
      <c r="Y112" s="41">
        <v>9000</v>
      </c>
      <c r="Z112" s="42">
        <v>1</v>
      </c>
      <c r="AA112" s="40">
        <f t="shared" si="44"/>
        <v>3496500</v>
      </c>
      <c r="AB112" s="40">
        <f t="shared" si="41"/>
        <v>155400000</v>
      </c>
      <c r="AC112" s="40">
        <f t="shared" si="49"/>
        <v>5827500</v>
      </c>
      <c r="AD112" s="40">
        <f t="shared" si="32"/>
        <v>0</v>
      </c>
      <c r="AE112" s="56">
        <f t="shared" si="42"/>
        <v>195804000</v>
      </c>
      <c r="AF112" s="504"/>
      <c r="AG112" s="69"/>
      <c r="AH112" s="43"/>
      <c r="AI112" s="3"/>
      <c r="AJ112" s="4"/>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row>
    <row r="113" spans="1:800 1051:1824 2075:2848 3099:3872 4123:4896 5147:5920 6171:6944 7195:7968 8219:8992 9243:10016 10267:11040 11291:12064 12315:13088 13339:14112 14363:15136 15387:16160" s="2" customFormat="1" ht="27" customHeight="1" x14ac:dyDescent="0.25">
      <c r="A113" s="94">
        <v>32</v>
      </c>
      <c r="B113" s="95" t="s">
        <v>257</v>
      </c>
      <c r="C113" s="494"/>
      <c r="D113" s="494"/>
      <c r="E113" s="495"/>
      <c r="F113" s="214" t="s">
        <v>33</v>
      </c>
      <c r="G113" s="210">
        <v>28</v>
      </c>
      <c r="H113" s="210">
        <v>542</v>
      </c>
      <c r="I113" s="211">
        <v>481.2</v>
      </c>
      <c r="J113" s="212" t="s">
        <v>7</v>
      </c>
      <c r="K113" s="48">
        <f>864-388.5</f>
        <v>475.5</v>
      </c>
      <c r="L113" s="48">
        <f>I112+I113-K112-K113</f>
        <v>5.7000000000000455</v>
      </c>
      <c r="M113" s="48"/>
      <c r="N113" s="49"/>
      <c r="O113" s="49"/>
      <c r="P113" s="49"/>
      <c r="Q113" s="50">
        <f t="shared" si="45"/>
        <v>481.20000000000005</v>
      </c>
      <c r="R113" s="55" t="str">
        <f t="shared" si="48"/>
        <v>LUC</v>
      </c>
      <c r="S113" s="183"/>
      <c r="T113" s="40">
        <v>80000</v>
      </c>
      <c r="U113" s="40">
        <f t="shared" ref="U113:U114" si="56">(K113+L113+N113+O113)*T113</f>
        <v>38496000</v>
      </c>
      <c r="V113" s="158" t="s">
        <v>64</v>
      </c>
      <c r="W113" s="241" t="s">
        <v>24</v>
      </c>
      <c r="X113" s="242">
        <f t="shared" si="55"/>
        <v>481.20000000000005</v>
      </c>
      <c r="Y113" s="41">
        <v>9000</v>
      </c>
      <c r="Z113" s="42">
        <v>1</v>
      </c>
      <c r="AA113" s="40">
        <f t="shared" si="44"/>
        <v>4330800</v>
      </c>
      <c r="AB113" s="40">
        <f t="shared" si="41"/>
        <v>192480000</v>
      </c>
      <c r="AC113" s="40">
        <f t="shared" si="49"/>
        <v>7218000.0000000009</v>
      </c>
      <c r="AD113" s="40">
        <f t="shared" si="32"/>
        <v>0</v>
      </c>
      <c r="AE113" s="56">
        <f t="shared" si="42"/>
        <v>242524800</v>
      </c>
      <c r="AF113" s="504"/>
      <c r="AG113" s="6"/>
      <c r="AH113" s="43"/>
      <c r="AI113" s="3"/>
      <c r="AJ113" s="4"/>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row>
    <row r="114" spans="1:800 1051:1824 2075:2848 3099:3872 4123:4896 5147:5920 6171:6944 7195:7968 8219:8992 9243:10016 10267:11040 11291:12064 12315:13088 13339:14112 14363:15136 15387:16160" s="2" customFormat="1" ht="27" customHeight="1" x14ac:dyDescent="0.25">
      <c r="A114" s="94">
        <v>32</v>
      </c>
      <c r="B114" s="95" t="s">
        <v>257</v>
      </c>
      <c r="C114" s="246">
        <v>5</v>
      </c>
      <c r="D114" s="246">
        <v>133</v>
      </c>
      <c r="E114" s="247">
        <v>600</v>
      </c>
      <c r="F114" s="214" t="s">
        <v>39</v>
      </c>
      <c r="G114" s="210">
        <v>28</v>
      </c>
      <c r="H114" s="210">
        <v>617</v>
      </c>
      <c r="I114" s="211">
        <v>740.9</v>
      </c>
      <c r="J114" s="212" t="s">
        <v>7</v>
      </c>
      <c r="K114" s="48">
        <v>600</v>
      </c>
      <c r="L114" s="48">
        <f>I114-K114</f>
        <v>140.89999999999998</v>
      </c>
      <c r="M114" s="48"/>
      <c r="N114" s="49"/>
      <c r="O114" s="49"/>
      <c r="P114" s="49"/>
      <c r="Q114" s="50">
        <f t="shared" si="45"/>
        <v>740.9</v>
      </c>
      <c r="R114" s="55" t="str">
        <f t="shared" si="48"/>
        <v>LUC</v>
      </c>
      <c r="S114" s="183"/>
      <c r="T114" s="40">
        <v>80000</v>
      </c>
      <c r="U114" s="40">
        <f t="shared" si="56"/>
        <v>59272000</v>
      </c>
      <c r="V114" s="158" t="s">
        <v>64</v>
      </c>
      <c r="W114" s="241" t="s">
        <v>24</v>
      </c>
      <c r="X114" s="242">
        <f t="shared" si="55"/>
        <v>740.9</v>
      </c>
      <c r="Y114" s="41">
        <v>9000</v>
      </c>
      <c r="Z114" s="42">
        <v>1</v>
      </c>
      <c r="AA114" s="40">
        <f t="shared" si="44"/>
        <v>6668100</v>
      </c>
      <c r="AB114" s="40">
        <f t="shared" si="41"/>
        <v>296360000</v>
      </c>
      <c r="AC114" s="40">
        <f t="shared" si="49"/>
        <v>11113500</v>
      </c>
      <c r="AD114" s="40">
        <f t="shared" si="32"/>
        <v>0</v>
      </c>
      <c r="AE114" s="56">
        <f t="shared" si="42"/>
        <v>373413600</v>
      </c>
      <c r="AF114" s="504"/>
      <c r="AG114" s="6"/>
      <c r="AH114" s="43"/>
      <c r="AI114" s="3"/>
      <c r="AJ114" s="4"/>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row>
    <row r="115" spans="1:800 1051:1824 2075:2848 3099:3872 4123:4896 5147:5920 6171:6944 7195:7968 8219:8992 9243:10016 10267:11040 11291:12064 12315:13088 13339:14112 14363:15136 15387:16160" s="259" customFormat="1" ht="21.75" customHeight="1" x14ac:dyDescent="0.25">
      <c r="A115" s="252"/>
      <c r="B115" s="253" t="s">
        <v>25</v>
      </c>
      <c r="C115" s="254"/>
      <c r="D115" s="254"/>
      <c r="E115" s="261">
        <f>SUBTOTAL(9,E8:E114)</f>
        <v>28624</v>
      </c>
      <c r="F115" s="261">
        <f>SUBTOTAL(9,F8:F114)</f>
        <v>0</v>
      </c>
      <c r="G115" s="261"/>
      <c r="H115" s="261"/>
      <c r="I115" s="261">
        <f t="shared" ref="I115:S115" si="57">SUBTOTAL(9,I8:I114)</f>
        <v>40982.700000000019</v>
      </c>
      <c r="J115" s="261">
        <f t="shared" si="57"/>
        <v>0</v>
      </c>
      <c r="K115" s="261">
        <f t="shared" si="57"/>
        <v>25584.6</v>
      </c>
      <c r="L115" s="261">
        <f t="shared" si="57"/>
        <v>7537.0999999999985</v>
      </c>
      <c r="M115" s="261">
        <f t="shared" si="57"/>
        <v>311.3</v>
      </c>
      <c r="N115" s="261">
        <f t="shared" si="57"/>
        <v>0</v>
      </c>
      <c r="O115" s="261">
        <f t="shared" si="57"/>
        <v>0</v>
      </c>
      <c r="P115" s="261">
        <f t="shared" si="57"/>
        <v>0</v>
      </c>
      <c r="Q115" s="261">
        <f t="shared" si="57"/>
        <v>33433</v>
      </c>
      <c r="R115" s="261">
        <f t="shared" si="57"/>
        <v>0</v>
      </c>
      <c r="S115" s="261">
        <f t="shared" si="57"/>
        <v>657.3</v>
      </c>
      <c r="T115" s="261"/>
      <c r="U115" s="262">
        <f>SUBTOTAL(9,U8:U114)</f>
        <v>2649736000</v>
      </c>
      <c r="V115" s="53">
        <f>SUBTOTAL(9,V8:V114)</f>
        <v>0</v>
      </c>
      <c r="W115" s="47">
        <f>SUBTOTAL(9,W8:W114)</f>
        <v>0</v>
      </c>
      <c r="X115" s="47">
        <f>SUBTOTAL(9,X8:X114)</f>
        <v>31176.900000000005</v>
      </c>
      <c r="Y115" s="101"/>
      <c r="Z115" s="47"/>
      <c r="AA115" s="101">
        <f t="shared" ref="AA115:AF115" si="58">SUBTOTAL(9,AA8:AA114)</f>
        <v>336885570</v>
      </c>
      <c r="AB115" s="101">
        <f t="shared" si="58"/>
        <v>13248680000</v>
      </c>
      <c r="AC115" s="101">
        <f t="shared" si="58"/>
        <v>496825500</v>
      </c>
      <c r="AD115" s="101">
        <f t="shared" si="58"/>
        <v>24904000</v>
      </c>
      <c r="AE115" s="101">
        <f t="shared" si="58"/>
        <v>16757031070</v>
      </c>
      <c r="AF115" s="228">
        <f t="shared" si="58"/>
        <v>16757031070</v>
      </c>
      <c r="AG115" s="255">
        <f>SUM(AG8:AG9)</f>
        <v>0</v>
      </c>
      <c r="AH115" s="256"/>
      <c r="AI115" s="257"/>
      <c r="AJ115" s="258"/>
      <c r="JW115" s="102"/>
      <c r="KB115" s="102"/>
      <c r="TS115" s="102"/>
      <c r="TX115" s="102"/>
      <c r="ADO115" s="102"/>
      <c r="ADT115" s="102"/>
      <c r="ANK115" s="102"/>
      <c r="ANP115" s="102"/>
      <c r="AXG115" s="102"/>
      <c r="AXL115" s="102"/>
      <c r="BHC115" s="102"/>
      <c r="BHH115" s="102"/>
      <c r="BQY115" s="102"/>
      <c r="BRD115" s="102"/>
      <c r="CAU115" s="102"/>
      <c r="CAZ115" s="102"/>
      <c r="CKQ115" s="102"/>
      <c r="CKV115" s="102"/>
      <c r="CUM115" s="102"/>
      <c r="CUR115" s="102"/>
      <c r="DEI115" s="102"/>
      <c r="DEN115" s="102"/>
      <c r="DOE115" s="102"/>
      <c r="DOJ115" s="102"/>
      <c r="DYA115" s="102"/>
      <c r="DYF115" s="102"/>
      <c r="EHW115" s="102"/>
      <c r="EIB115" s="102"/>
      <c r="ERS115" s="102"/>
      <c r="ERX115" s="102"/>
      <c r="FBO115" s="102"/>
      <c r="FBT115" s="102"/>
      <c r="FLK115" s="102"/>
      <c r="FLP115" s="102"/>
      <c r="FVG115" s="102"/>
      <c r="FVL115" s="102"/>
      <c r="GFC115" s="102"/>
      <c r="GFH115" s="102"/>
      <c r="GOY115" s="102"/>
      <c r="GPD115" s="102"/>
      <c r="GYU115" s="102"/>
      <c r="GYZ115" s="102"/>
      <c r="HIQ115" s="102"/>
      <c r="HIV115" s="102"/>
      <c r="HSM115" s="102"/>
      <c r="HSR115" s="102"/>
      <c r="ICI115" s="102"/>
      <c r="ICN115" s="102"/>
      <c r="IME115" s="102"/>
      <c r="IMJ115" s="102"/>
      <c r="IWA115" s="102"/>
      <c r="IWF115" s="102"/>
      <c r="JFW115" s="102"/>
      <c r="JGB115" s="102"/>
      <c r="JPS115" s="102"/>
      <c r="JPX115" s="102"/>
      <c r="JZO115" s="102"/>
      <c r="JZT115" s="102"/>
      <c r="KJK115" s="102"/>
      <c r="KJP115" s="102"/>
      <c r="KTG115" s="102"/>
      <c r="KTL115" s="102"/>
      <c r="LDC115" s="102"/>
      <c r="LDH115" s="102"/>
      <c r="LMY115" s="102"/>
      <c r="LND115" s="102"/>
      <c r="LWU115" s="102"/>
      <c r="LWZ115" s="102"/>
      <c r="MGQ115" s="102"/>
      <c r="MGV115" s="102"/>
      <c r="MQM115" s="102"/>
      <c r="MQR115" s="102"/>
      <c r="NAI115" s="102"/>
      <c r="NAN115" s="102"/>
      <c r="NKE115" s="102"/>
      <c r="NKJ115" s="102"/>
      <c r="NUA115" s="102"/>
      <c r="NUF115" s="102"/>
      <c r="ODW115" s="102"/>
      <c r="OEB115" s="102"/>
      <c r="ONS115" s="102"/>
      <c r="ONX115" s="102"/>
      <c r="OXO115" s="102"/>
      <c r="OXT115" s="102"/>
      <c r="PHK115" s="102"/>
      <c r="PHP115" s="102"/>
      <c r="PRG115" s="102"/>
      <c r="PRL115" s="102"/>
      <c r="QBC115" s="102"/>
      <c r="QBH115" s="102"/>
      <c r="QKY115" s="102"/>
      <c r="QLD115" s="102"/>
      <c r="QUU115" s="102"/>
      <c r="QUZ115" s="102"/>
      <c r="REQ115" s="102"/>
      <c r="REV115" s="102"/>
      <c r="ROM115" s="102"/>
      <c r="ROR115" s="102"/>
      <c r="RYI115" s="102"/>
      <c r="RYN115" s="102"/>
      <c r="SIE115" s="102"/>
      <c r="SIJ115" s="102"/>
      <c r="SSA115" s="102"/>
      <c r="SSF115" s="102"/>
      <c r="TBW115" s="102"/>
      <c r="TCB115" s="102"/>
      <c r="TLS115" s="102"/>
      <c r="TLX115" s="102"/>
      <c r="TVO115" s="102"/>
      <c r="TVT115" s="102"/>
      <c r="UFK115" s="102"/>
      <c r="UFP115" s="102"/>
      <c r="UPG115" s="102"/>
      <c r="UPL115" s="102"/>
      <c r="UZC115" s="102"/>
      <c r="UZH115" s="102"/>
      <c r="VIY115" s="102"/>
      <c r="VJD115" s="102"/>
      <c r="VSU115" s="102"/>
      <c r="VSZ115" s="102"/>
      <c r="WCQ115" s="102"/>
      <c r="WCV115" s="102"/>
      <c r="WMM115" s="102"/>
      <c r="WMR115" s="102"/>
      <c r="WWI115" s="102"/>
      <c r="WWN115" s="102"/>
    </row>
    <row r="116" spans="1:800 1051:1824 2075:2848 3099:3872 4123:4896 5147:5920 6171:6944 7195:7968 8219:8992 9243:10016 10267:11040 11291:12064 12315:13088 13339:14112 14363:15136 15387:16160" ht="9.75" customHeight="1" x14ac:dyDescent="0.25">
      <c r="U116" s="227"/>
      <c r="X116" s="103"/>
      <c r="AJ116" s="107"/>
    </row>
    <row r="117" spans="1:800 1051:1824 2075:2848 3099:3872 4123:4896 5147:5920 6171:6944 7195:7968 8219:8992 9243:10016 10267:11040 11291:12064 12315:13088 13339:14112 14363:15136 15387:16160" ht="15.75" customHeight="1" x14ac:dyDescent="0.25">
      <c r="A117" s="585"/>
      <c r="B117" s="585"/>
      <c r="C117" s="585"/>
      <c r="D117" s="585"/>
      <c r="E117" s="585"/>
      <c r="F117" s="585"/>
      <c r="G117" s="585"/>
      <c r="H117" s="585"/>
      <c r="I117" s="585"/>
      <c r="J117" s="585"/>
      <c r="K117" s="585"/>
      <c r="L117" s="585"/>
      <c r="M117" s="585"/>
      <c r="N117" s="585"/>
      <c r="O117" s="585"/>
      <c r="P117" s="585"/>
      <c r="Q117" s="585"/>
      <c r="R117" s="585"/>
      <c r="S117" s="585"/>
      <c r="T117" s="585"/>
      <c r="U117" s="585"/>
      <c r="V117" s="585"/>
      <c r="W117" s="585"/>
      <c r="X117" s="585"/>
      <c r="Y117" s="585"/>
      <c r="Z117" s="585"/>
      <c r="AD117" s="586"/>
      <c r="AE117" s="586"/>
      <c r="AF117" s="586"/>
      <c r="AG117" s="586"/>
    </row>
    <row r="118" spans="1:800 1051:1824 2075:2848 3099:3872 4123:4896 5147:5920 6171:6944 7195:7968 8219:8992 9243:10016 10267:11040 11291:12064 12315:13088 13339:14112 14363:15136 15387:16160" x14ac:dyDescent="0.25">
      <c r="A118" s="585"/>
      <c r="B118" s="585"/>
      <c r="C118" s="585"/>
      <c r="D118" s="585"/>
      <c r="E118" s="585"/>
      <c r="F118" s="585"/>
      <c r="G118" s="585"/>
      <c r="H118" s="585"/>
      <c r="I118" s="585"/>
      <c r="J118" s="585"/>
      <c r="K118" s="585"/>
      <c r="L118" s="585"/>
      <c r="M118" s="585"/>
      <c r="N118" s="585"/>
      <c r="O118" s="585"/>
      <c r="P118" s="585"/>
      <c r="Q118" s="585"/>
      <c r="R118" s="585"/>
      <c r="S118" s="585"/>
      <c r="T118" s="585"/>
      <c r="U118" s="585"/>
      <c r="V118" s="585"/>
      <c r="W118" s="585"/>
      <c r="X118" s="585"/>
      <c r="Y118" s="585"/>
      <c r="Z118" s="585"/>
      <c r="AD118" s="586"/>
      <c r="AE118" s="586"/>
      <c r="AF118" s="586"/>
      <c r="AG118" s="586"/>
    </row>
    <row r="119" spans="1:800 1051:1824 2075:2848 3099:3872 4123:4896 5147:5920 6171:6944 7195:7968 8219:8992 9243:10016 10267:11040 11291:12064 12315:13088 13339:14112 14363:15136 15387:16160" x14ac:dyDescent="0.25">
      <c r="AD119" s="180"/>
      <c r="AE119" s="181"/>
      <c r="AF119" s="181"/>
    </row>
  </sheetData>
  <autoFilter ref="A7:AH114" xr:uid="{00000000-0009-0000-0000-000007000000}"/>
  <mergeCells count="84">
    <mergeCell ref="A117:Z118"/>
    <mergeCell ref="AD117:AG118"/>
    <mergeCell ref="AF101:AF102"/>
    <mergeCell ref="AF105:AF107"/>
    <mergeCell ref="AF108:AF114"/>
    <mergeCell ref="C110:C111"/>
    <mergeCell ref="D110:D111"/>
    <mergeCell ref="E110:E111"/>
    <mergeCell ref="C112:C113"/>
    <mergeCell ref="D112:D113"/>
    <mergeCell ref="E112:E113"/>
    <mergeCell ref="AG86:AG87"/>
    <mergeCell ref="AF88:AF90"/>
    <mergeCell ref="AF91:AF94"/>
    <mergeCell ref="AF95:AF97"/>
    <mergeCell ref="AF98:AF100"/>
    <mergeCell ref="AF82:AF84"/>
    <mergeCell ref="AF85:AF87"/>
    <mergeCell ref="AF31:AF37"/>
    <mergeCell ref="AF40:AF42"/>
    <mergeCell ref="AF44:AF45"/>
    <mergeCell ref="AF46:AF48"/>
    <mergeCell ref="AF56:AF59"/>
    <mergeCell ref="AF60:AF63"/>
    <mergeCell ref="AF64:AF68"/>
    <mergeCell ref="AF69:AF74"/>
    <mergeCell ref="AF76:AF81"/>
    <mergeCell ref="C49:C50"/>
    <mergeCell ref="D49:D50"/>
    <mergeCell ref="E49:E50"/>
    <mergeCell ref="AF49:AF53"/>
    <mergeCell ref="X5:X6"/>
    <mergeCell ref="Y5:Y6"/>
    <mergeCell ref="AF38:AF39"/>
    <mergeCell ref="C8:C9"/>
    <mergeCell ref="D8:D9"/>
    <mergeCell ref="E8:E9"/>
    <mergeCell ref="F8:F9"/>
    <mergeCell ref="AF8:AF9"/>
    <mergeCell ref="AF10:AF18"/>
    <mergeCell ref="C14:C18"/>
    <mergeCell ref="D14:D18"/>
    <mergeCell ref="E14:E18"/>
    <mergeCell ref="AF19:AF22"/>
    <mergeCell ref="AF23:AF25"/>
    <mergeCell ref="AF26:AF27"/>
    <mergeCell ref="AF28:AF30"/>
    <mergeCell ref="R5:R6"/>
    <mergeCell ref="T5:T6"/>
    <mergeCell ref="U5:U6"/>
    <mergeCell ref="V5:V6"/>
    <mergeCell ref="W5:W6"/>
    <mergeCell ref="AA5:AA6"/>
    <mergeCell ref="AH4:AH6"/>
    <mergeCell ref="AI4:AI6"/>
    <mergeCell ref="C5:C6"/>
    <mergeCell ref="D5:D6"/>
    <mergeCell ref="E5:E6"/>
    <mergeCell ref="F5:F6"/>
    <mergeCell ref="G5:G6"/>
    <mergeCell ref="H5:H6"/>
    <mergeCell ref="I5:I6"/>
    <mergeCell ref="V4:AA4"/>
    <mergeCell ref="AB4:AB6"/>
    <mergeCell ref="AC4:AC6"/>
    <mergeCell ref="AD4:AD6"/>
    <mergeCell ref="AE4:AE6"/>
    <mergeCell ref="AF4:AF6"/>
    <mergeCell ref="Z5:Z6"/>
    <mergeCell ref="A1:AG1"/>
    <mergeCell ref="A2:AG2"/>
    <mergeCell ref="A3:AG3"/>
    <mergeCell ref="A4:A6"/>
    <mergeCell ref="B4:B6"/>
    <mergeCell ref="C4:F4"/>
    <mergeCell ref="G4:J4"/>
    <mergeCell ref="K4:R4"/>
    <mergeCell ref="S4:S6"/>
    <mergeCell ref="T4:U4"/>
    <mergeCell ref="AG4:AG6"/>
    <mergeCell ref="J5:J6"/>
    <mergeCell ref="K5:M5"/>
    <mergeCell ref="N5:P5"/>
    <mergeCell ref="Q5:Q6"/>
  </mergeCells>
  <pageMargins left="0.05" right="0.05" top="0.4" bottom="0.3" header="0.3" footer="0.3"/>
  <pageSetup paperSize="8" scale="82" orientation="landscape"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Phương án đợt 2 trình chuẩn</vt:lpstr>
      <vt:lpstr>BTHTS</vt:lpstr>
      <vt:lpstr>2%</vt:lpstr>
      <vt:lpstr>BTH</vt:lpstr>
      <vt:lpstr>DS thu hồi đợt 2 (trình)</vt:lpstr>
      <vt:lpstr>PA trình đợt 2(cũ)</vt:lpstr>
      <vt:lpstr>Dự thảo PA đợt 2 (NY)</vt:lpstr>
      <vt:lpstr>'2%'!Print_Titles</vt:lpstr>
      <vt:lpstr>BTHTS!Print_Titles</vt:lpstr>
      <vt:lpstr>'Dự thảo PA đợt 2 (NY)'!Print_Titles</vt:lpstr>
      <vt:lpstr>'PA trình đợt 2(cũ)'!Print_Titles</vt:lpstr>
      <vt:lpstr>'Phương án đợt 2 trình chuẩn'!Print_Titles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Trinh</cp:lastModifiedBy>
  <cp:lastPrinted>2026-05-29T07:24:30Z</cp:lastPrinted>
  <dcterms:created xsi:type="dcterms:W3CDTF">2022-06-06T09:22:18Z</dcterms:created>
  <dcterms:modified xsi:type="dcterms:W3CDTF">2026-06-02T08:07:36Z</dcterms:modified>
</cp:coreProperties>
</file>